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387e940c91606d9/デスクトップ/"/>
    </mc:Choice>
  </mc:AlternateContent>
  <xr:revisionPtr revIDLastSave="22" documentId="13_ncr:1_{C46994C0-E3D2-4285-BCD7-AE043A00A0CE}" xr6:coauthVersionLast="47" xr6:coauthVersionMax="47" xr10:uidLastSave="{6B072645-8739-496A-8A1B-1ED982D9A468}"/>
  <bookViews>
    <workbookView xWindow="-120" yWindow="-120" windowWidth="20730" windowHeight="11160" tabRatio="908" activeTab="7" xr2:uid="{00000000-000D-0000-FFFF-FFFF00000000}"/>
  </bookViews>
  <sheets>
    <sheet name="編集履歴" sheetId="20" r:id="rId1"/>
    <sheet name="N-20保護" sheetId="9" r:id="rId2"/>
    <sheet name="N-20露出" sheetId="21" r:id="rId3"/>
    <sheet name="N-20-保護断熱" sheetId="14" r:id="rId4"/>
    <sheet name="NZ-20保護" sheetId="23" r:id="rId5"/>
    <sheet name="NZ-20保護断熱" sheetId="24" r:id="rId6"/>
    <sheet name="NZ-20露出(1)" sheetId="18" r:id="rId7"/>
    <sheet name="NZ-20露出 (2)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4" l="1"/>
  <c r="G25" i="24" s="1"/>
  <c r="J25" i="24" s="1"/>
  <c r="F27" i="24"/>
  <c r="G27" i="24" s="1"/>
  <c r="J27" i="24" s="1"/>
  <c r="F26" i="24"/>
  <c r="G26" i="24" s="1"/>
  <c r="J26" i="24" s="1"/>
  <c r="G10" i="24"/>
  <c r="F21" i="24" s="1"/>
  <c r="G8" i="24"/>
  <c r="F18" i="24" s="1"/>
  <c r="G18" i="24" s="1"/>
  <c r="F24" i="24" l="1"/>
  <c r="G24" i="24" s="1"/>
  <c r="J24" i="24" s="1"/>
  <c r="J18" i="24"/>
  <c r="F14" i="24"/>
  <c r="G14" i="24" s="1"/>
  <c r="J14" i="24" s="1"/>
  <c r="F20" i="24"/>
  <c r="F17" i="24"/>
  <c r="G17" i="24" s="1"/>
  <c r="F26" i="23"/>
  <c r="F25" i="23"/>
  <c r="G25" i="23" s="1"/>
  <c r="J25" i="23" s="1"/>
  <c r="G10" i="23"/>
  <c r="G8" i="23"/>
  <c r="F17" i="23" s="1"/>
  <c r="G17" i="23" s="1"/>
  <c r="F20" i="23" l="1"/>
  <c r="F19" i="24"/>
  <c r="G19" i="24" s="1"/>
  <c r="J17" i="24"/>
  <c r="F23" i="24"/>
  <c r="G23" i="24" s="1"/>
  <c r="J23" i="24" s="1"/>
  <c r="G26" i="23"/>
  <c r="J26" i="23" s="1"/>
  <c r="F14" i="23"/>
  <c r="G14" i="23" s="1"/>
  <c r="J14" i="23" s="1"/>
  <c r="F21" i="23"/>
  <c r="F23" i="23"/>
  <c r="J17" i="23"/>
  <c r="F18" i="23"/>
  <c r="G18" i="23" s="1"/>
  <c r="G10" i="19"/>
  <c r="F28" i="19" s="1"/>
  <c r="G28" i="19" s="1"/>
  <c r="J28" i="19" s="1"/>
  <c r="G10" i="18"/>
  <c r="G10" i="21"/>
  <c r="F18" i="21" s="1"/>
  <c r="G8" i="21"/>
  <c r="F17" i="21" s="1"/>
  <c r="G8" i="9"/>
  <c r="F17" i="9" s="1"/>
  <c r="G10" i="9"/>
  <c r="F18" i="9" s="1"/>
  <c r="G9" i="14"/>
  <c r="F18" i="14" s="1"/>
  <c r="G8" i="19"/>
  <c r="F21" i="19"/>
  <c r="G8" i="18"/>
  <c r="F29" i="19"/>
  <c r="G29" i="19" s="1"/>
  <c r="J29" i="19" s="1"/>
  <c r="F22" i="9"/>
  <c r="G22" i="9" s="1"/>
  <c r="J22" i="9" s="1"/>
  <c r="G11" i="14"/>
  <c r="F19" i="14" s="1"/>
  <c r="G34" i="19"/>
  <c r="G34" i="18"/>
  <c r="F24" i="14"/>
  <c r="G24" i="14" s="1"/>
  <c r="J24" i="14" s="1"/>
  <c r="F20" i="14"/>
  <c r="F25" i="14"/>
  <c r="G25" i="14" s="1"/>
  <c r="J25" i="14" s="1"/>
  <c r="F26" i="14"/>
  <c r="G26" i="14" s="1"/>
  <c r="J26" i="14" s="1"/>
  <c r="F23" i="9"/>
  <c r="G23" i="9" s="1"/>
  <c r="J23" i="9" s="1"/>
  <c r="F15" i="14"/>
  <c r="G15" i="14" s="1"/>
  <c r="J15" i="14" s="1"/>
  <c r="F14" i="9" l="1"/>
  <c r="G14" i="9" s="1"/>
  <c r="J14" i="9" s="1"/>
  <c r="F32" i="18"/>
  <c r="G32" i="18" s="1"/>
  <c r="F33" i="18"/>
  <c r="F31" i="18"/>
  <c r="F32" i="19"/>
  <c r="G32" i="19" s="1"/>
  <c r="F33" i="19"/>
  <c r="F31" i="19"/>
  <c r="F18" i="19"/>
  <c r="G18" i="19" s="1"/>
  <c r="F15" i="21"/>
  <c r="G15" i="21" s="1"/>
  <c r="J15" i="21" s="1"/>
  <c r="F26" i="21"/>
  <c r="G26" i="21" s="1"/>
  <c r="F27" i="21"/>
  <c r="F25" i="21"/>
  <c r="G25" i="21" s="1"/>
  <c r="J25" i="21" s="1"/>
  <c r="F17" i="19"/>
  <c r="G17" i="19" s="1"/>
  <c r="J17" i="19" s="1"/>
  <c r="F23" i="21"/>
  <c r="G23" i="21" s="1"/>
  <c r="G27" i="21"/>
  <c r="F22" i="21"/>
  <c r="G22" i="21" s="1"/>
  <c r="F22" i="14"/>
  <c r="G22" i="14" s="1"/>
  <c r="J22" i="14" s="1"/>
  <c r="F14" i="21"/>
  <c r="G14" i="21" s="1"/>
  <c r="J14" i="21" s="1"/>
  <c r="F24" i="21"/>
  <c r="G24" i="21" s="1"/>
  <c r="J24" i="21" s="1"/>
  <c r="F27" i="19"/>
  <c r="G27" i="19" s="1"/>
  <c r="J27" i="19" s="1"/>
  <c r="G31" i="19"/>
  <c r="J31" i="19" s="1"/>
  <c r="F26" i="19"/>
  <c r="G26" i="19" s="1"/>
  <c r="J26" i="19" s="1"/>
  <c r="G33" i="19"/>
  <c r="F30" i="19"/>
  <c r="G30" i="19" s="1"/>
  <c r="J30" i="19" s="1"/>
  <c r="F14" i="19"/>
  <c r="G14" i="19" s="1"/>
  <c r="J14" i="19" s="1"/>
  <c r="F30" i="18"/>
  <c r="G30" i="18" s="1"/>
  <c r="J30" i="18" s="1"/>
  <c r="F29" i="18"/>
  <c r="G29" i="18" s="1"/>
  <c r="J29" i="18" s="1"/>
  <c r="G31" i="18"/>
  <c r="J31" i="18" s="1"/>
  <c r="F26" i="18"/>
  <c r="G26" i="18" s="1"/>
  <c r="J26" i="18" s="1"/>
  <c r="F21" i="18"/>
  <c r="F27" i="18"/>
  <c r="G27" i="18" s="1"/>
  <c r="J27" i="18" s="1"/>
  <c r="F14" i="18"/>
  <c r="G14" i="18" s="1"/>
  <c r="J14" i="18" s="1"/>
  <c r="F28" i="18"/>
  <c r="G28" i="18" s="1"/>
  <c r="J28" i="18" s="1"/>
  <c r="G33" i="18"/>
  <c r="J19" i="24"/>
  <c r="F22" i="24"/>
  <c r="G22" i="24" s="1"/>
  <c r="J22" i="24" s="1"/>
  <c r="J28" i="24" s="1"/>
  <c r="J29" i="24" s="1"/>
  <c r="G23" i="23"/>
  <c r="J23" i="23" s="1"/>
  <c r="F24" i="23"/>
  <c r="G24" i="23" s="1"/>
  <c r="J18" i="23"/>
  <c r="F23" i="19"/>
  <c r="G23" i="19" s="1"/>
  <c r="J23" i="19" s="1"/>
  <c r="F20" i="18"/>
  <c r="F17" i="18"/>
  <c r="G17" i="18" s="1"/>
  <c r="F18" i="18"/>
  <c r="G18" i="18" s="1"/>
  <c r="F16" i="14"/>
  <c r="G16" i="14" s="1"/>
  <c r="F20" i="9"/>
  <c r="G20" i="9" s="1"/>
  <c r="J20" i="9" s="1"/>
  <c r="F15" i="9"/>
  <c r="G15" i="9" s="1"/>
  <c r="J15" i="9" s="1"/>
  <c r="F20" i="21"/>
  <c r="G20" i="21" s="1"/>
  <c r="J20" i="21" s="1"/>
  <c r="F20" i="19"/>
  <c r="F16" i="21" l="1"/>
  <c r="G16" i="21" s="1"/>
  <c r="J16" i="21" s="1"/>
  <c r="F21" i="21"/>
  <c r="G21" i="21" s="1"/>
  <c r="J21" i="21" s="1"/>
  <c r="J18" i="19"/>
  <c r="F24" i="19"/>
  <c r="G24" i="19" s="1"/>
  <c r="J24" i="19" s="1"/>
  <c r="F16" i="9"/>
  <c r="G16" i="9" s="1"/>
  <c r="F19" i="9" s="1"/>
  <c r="G19" i="9" s="1"/>
  <c r="J19" i="9" s="1"/>
  <c r="F19" i="23"/>
  <c r="G19" i="23" s="1"/>
  <c r="J17" i="18"/>
  <c r="F21" i="9"/>
  <c r="G21" i="9" s="1"/>
  <c r="J21" i="9" s="1"/>
  <c r="F23" i="18"/>
  <c r="G23" i="18" s="1"/>
  <c r="J23" i="18" s="1"/>
  <c r="F17" i="14"/>
  <c r="G17" i="14" s="1"/>
  <c r="J16" i="14"/>
  <c r="F24" i="18"/>
  <c r="G24" i="18" s="1"/>
  <c r="J24" i="18" s="1"/>
  <c r="J18" i="18"/>
  <c r="F23" i="14"/>
  <c r="G23" i="14" s="1"/>
  <c r="F19" i="19" l="1"/>
  <c r="G19" i="19" s="1"/>
  <c r="F22" i="19" s="1"/>
  <c r="G22" i="19" s="1"/>
  <c r="J22" i="19" s="1"/>
  <c r="F19" i="21"/>
  <c r="G19" i="21" s="1"/>
  <c r="J19" i="21" s="1"/>
  <c r="J28" i="21" s="1"/>
  <c r="J29" i="21" s="1"/>
  <c r="J16" i="9"/>
  <c r="J24" i="9"/>
  <c r="J25" i="9" s="1"/>
  <c r="J24" i="23"/>
  <c r="J19" i="23"/>
  <c r="F22" i="23"/>
  <c r="G22" i="23" s="1"/>
  <c r="J22" i="23" s="1"/>
  <c r="F21" i="14"/>
  <c r="G21" i="14" s="1"/>
  <c r="J21" i="14" s="1"/>
  <c r="J17" i="14"/>
  <c r="F19" i="18"/>
  <c r="G19" i="18" s="1"/>
  <c r="J19" i="19" l="1"/>
  <c r="J27" i="14"/>
  <c r="J28" i="14" s="1"/>
  <c r="J35" i="19"/>
  <c r="J36" i="19" s="1"/>
  <c r="J27" i="23"/>
  <c r="J28" i="23" s="1"/>
  <c r="J19" i="18"/>
  <c r="F22" i="18"/>
  <c r="G22" i="18" s="1"/>
  <c r="J22" i="18" s="1"/>
  <c r="J35" i="18" l="1"/>
  <c r="J36" i="18" s="1"/>
</calcChain>
</file>

<file path=xl/sharedStrings.xml><?xml version="1.0" encoding="utf-8"?>
<sst xmlns="http://schemas.openxmlformats.org/spreadsheetml/2006/main" count="753" uniqueCount="136">
  <si>
    <t>施工数量</t>
    <rPh sb="0" eb="2">
      <t>セコウ</t>
    </rPh>
    <rPh sb="2" eb="4">
      <t>スウリョウ</t>
    </rPh>
    <phoneticPr fontId="2"/>
  </si>
  <si>
    <t>立上り</t>
    <rPh sb="0" eb="2">
      <t>タチアガ</t>
    </rPh>
    <phoneticPr fontId="2"/>
  </si>
  <si>
    <t>笠木天端</t>
    <rPh sb="0" eb="2">
      <t>カサギ</t>
    </rPh>
    <rPh sb="2" eb="3">
      <t>テン</t>
    </rPh>
    <rPh sb="3" eb="4">
      <t>タン</t>
    </rPh>
    <phoneticPr fontId="2"/>
  </si>
  <si>
    <t>使用材料</t>
    <rPh sb="0" eb="2">
      <t>シヨウ</t>
    </rPh>
    <rPh sb="2" eb="4">
      <t>ザイリョウ</t>
    </rPh>
    <phoneticPr fontId="2"/>
  </si>
  <si>
    <t>缶</t>
    <rPh sb="0" eb="1">
      <t>カン</t>
    </rPh>
    <phoneticPr fontId="2"/>
  </si>
  <si>
    <t>増張り用補強布</t>
    <rPh sb="0" eb="1">
      <t>マ</t>
    </rPh>
    <rPh sb="1" eb="2">
      <t>ハ</t>
    </rPh>
    <rPh sb="3" eb="4">
      <t>ヨウ</t>
    </rPh>
    <rPh sb="4" eb="6">
      <t>ホキョウ</t>
    </rPh>
    <rPh sb="6" eb="7">
      <t>フ</t>
    </rPh>
    <phoneticPr fontId="2"/>
  </si>
  <si>
    <t>分類</t>
    <rPh sb="0" eb="2">
      <t>ブンルイ</t>
    </rPh>
    <phoneticPr fontId="2"/>
  </si>
  <si>
    <t>巻</t>
    <rPh sb="0" eb="1">
      <t>マ</t>
    </rPh>
    <phoneticPr fontId="2"/>
  </si>
  <si>
    <t>　　立上り　高さ</t>
    <rPh sb="2" eb="4">
      <t>タチアガ</t>
    </rPh>
    <rPh sb="6" eb="7">
      <t>タカ</t>
    </rPh>
    <phoneticPr fontId="2"/>
  </si>
  <si>
    <t>　　立上り　長さ</t>
    <rPh sb="2" eb="4">
      <t>タチアガ</t>
    </rPh>
    <rPh sb="6" eb="7">
      <t>ナガ</t>
    </rPh>
    <phoneticPr fontId="2"/>
  </si>
  <si>
    <t>ｍ</t>
    <phoneticPr fontId="2"/>
  </si>
  <si>
    <t>100ｍ巻</t>
    <rPh sb="4" eb="5">
      <t>マ</t>
    </rPh>
    <phoneticPr fontId="2"/>
  </si>
  <si>
    <t>荷姿</t>
    <rPh sb="0" eb="1">
      <t>ニ</t>
    </rPh>
    <rPh sb="1" eb="2">
      <t>スガタ</t>
    </rPh>
    <phoneticPr fontId="2"/>
  </si>
  <si>
    <t>増張り用防水材</t>
    <rPh sb="0" eb="1">
      <t>マ</t>
    </rPh>
    <rPh sb="1" eb="2">
      <t>ハ</t>
    </rPh>
    <rPh sb="3" eb="4">
      <t>ヨウ</t>
    </rPh>
    <rPh sb="4" eb="6">
      <t>ボウスイ</t>
    </rPh>
    <rPh sb="6" eb="7">
      <t>ザイ</t>
    </rPh>
    <phoneticPr fontId="2"/>
  </si>
  <si>
    <t>総施工数量</t>
    <rPh sb="0" eb="1">
      <t>ソウ</t>
    </rPh>
    <rPh sb="1" eb="3">
      <t>セコウ</t>
    </rPh>
    <rPh sb="3" eb="5">
      <t>スウリョウ</t>
    </rPh>
    <phoneticPr fontId="2"/>
  </si>
  <si>
    <t>材料計算</t>
    <rPh sb="0" eb="2">
      <t>ザイリョウ</t>
    </rPh>
    <rPh sb="2" eb="4">
      <t>ケイサン</t>
    </rPh>
    <phoneticPr fontId="2"/>
  </si>
  <si>
    <t>Ⅰ欄</t>
    <rPh sb="1" eb="2">
      <t>ラン</t>
    </rPh>
    <phoneticPr fontId="2"/>
  </si>
  <si>
    <t>Ⅱ欄</t>
    <rPh sb="1" eb="2">
      <t>ラン</t>
    </rPh>
    <phoneticPr fontId="2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</si>
  <si>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2"/>
  </si>
  <si>
    <t>使用量</t>
    <rPh sb="0" eb="3">
      <t>シヨウリョウ</t>
    </rPh>
    <phoneticPr fontId="2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</si>
  <si>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2"/>
  </si>
  <si>
    <t>概算発注数量</t>
    <rPh sb="0" eb="2">
      <t>ガイサン</t>
    </rPh>
    <rPh sb="2" eb="4">
      <t>ハッチュウ</t>
    </rPh>
    <rPh sb="4" eb="6">
      <t>スウリョウ</t>
    </rPh>
    <phoneticPr fontId="2"/>
  </si>
  <si>
    <t>①</t>
    <phoneticPr fontId="2"/>
  </si>
  <si>
    <t>㎡</t>
    <phoneticPr fontId="2"/>
  </si>
  <si>
    <t>②</t>
    <phoneticPr fontId="2"/>
  </si>
  <si>
    <t>1.1ｍ/ｍ</t>
    <phoneticPr fontId="2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</si>
  <si>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2"/>
  </si>
  <si>
    <t>③</t>
    <phoneticPr fontId="2"/>
  </si>
  <si>
    <t>0.2kg/㎡</t>
    <phoneticPr fontId="2"/>
  </si>
  <si>
    <t>仕切単価</t>
    <rPh sb="0" eb="2">
      <t>シキ</t>
    </rPh>
    <rPh sb="2" eb="4">
      <t>タンカ</t>
    </rPh>
    <phoneticPr fontId="2"/>
  </si>
  <si>
    <t>金額</t>
    <rPh sb="0" eb="2">
      <t>キンガク</t>
    </rPh>
    <phoneticPr fontId="2"/>
  </si>
  <si>
    <t>材料費合計</t>
    <rPh sb="0" eb="2">
      <t>ザイリョウ</t>
    </rPh>
    <rPh sb="2" eb="3">
      <t>ヒ</t>
    </rPh>
    <rPh sb="3" eb="5">
      <t>ゴウケイ</t>
    </rPh>
    <phoneticPr fontId="2"/>
  </si>
  <si>
    <t>床　断熱部</t>
    <rPh sb="0" eb="1">
      <t>ユカ</t>
    </rPh>
    <rPh sb="2" eb="4">
      <t>ダンネツ</t>
    </rPh>
    <rPh sb="4" eb="5">
      <t>ブ</t>
    </rPh>
    <phoneticPr fontId="2"/>
  </si>
  <si>
    <t>床　非断熱部</t>
    <rPh sb="0" eb="1">
      <t>ユカ</t>
    </rPh>
    <rPh sb="2" eb="3">
      <t>ヒ</t>
    </rPh>
    <rPh sb="3" eb="5">
      <t>ダンネツ</t>
    </rPh>
    <rPh sb="5" eb="6">
      <t>ブ</t>
    </rPh>
    <phoneticPr fontId="2"/>
  </si>
  <si>
    <t>断熱材</t>
    <rPh sb="0" eb="3">
      <t>ダンネツザイ</t>
    </rPh>
    <phoneticPr fontId="2"/>
  </si>
  <si>
    <t>枚</t>
    <rPh sb="0" eb="1">
      <t>マイ</t>
    </rPh>
    <phoneticPr fontId="2"/>
  </si>
  <si>
    <t>ｽﾃﾝﾚｽ製</t>
    <rPh sb="5" eb="6">
      <t>セイ</t>
    </rPh>
    <phoneticPr fontId="2"/>
  </si>
  <si>
    <t>取扱外</t>
    <rPh sb="0" eb="2">
      <t>トリアツカ</t>
    </rPh>
    <rPh sb="2" eb="3">
      <t>ガイ</t>
    </rPh>
    <phoneticPr fontId="2"/>
  </si>
  <si>
    <t>脱気筒</t>
    <rPh sb="0" eb="1">
      <t>ダツ</t>
    </rPh>
    <rPh sb="1" eb="2">
      <t>キ</t>
    </rPh>
    <rPh sb="2" eb="3">
      <t>ツツ</t>
    </rPh>
    <phoneticPr fontId="2"/>
  </si>
  <si>
    <t>断熱用</t>
    <rPh sb="0" eb="2">
      <t>ダンネツ</t>
    </rPh>
    <rPh sb="2" eb="3">
      <t>ヨウ</t>
    </rPh>
    <phoneticPr fontId="2"/>
  </si>
  <si>
    <t>0.2kg/m</t>
    <phoneticPr fontId="2"/>
  </si>
  <si>
    <t>ﾌﾟﾗｲﾏｰ</t>
    <phoneticPr fontId="2"/>
  </si>
  <si>
    <t>ﾎﾟﾘｴﾁﾚﾝﾌｨﾙﾑ0.15mm</t>
    <phoneticPr fontId="2"/>
  </si>
  <si>
    <t>t0.15 1.5×50m</t>
    <phoneticPr fontId="2"/>
  </si>
  <si>
    <t>材料単価</t>
    <rPh sb="0" eb="2">
      <t>ザイリョウ</t>
    </rPh>
    <rPh sb="2" eb="4">
      <t>タンカ</t>
    </rPh>
    <phoneticPr fontId="2"/>
  </si>
  <si>
    <t>床</t>
    <rPh sb="0" eb="1">
      <t>ユカ</t>
    </rPh>
    <phoneticPr fontId="2"/>
  </si>
  <si>
    <t>2kg　（WPに同梱）</t>
    <rPh sb="8" eb="10">
      <t>ドウコン</t>
    </rPh>
    <phoneticPr fontId="2"/>
  </si>
  <si>
    <t>手配無用</t>
    <rPh sb="0" eb="2">
      <t>テハイ</t>
    </rPh>
    <rPh sb="2" eb="4">
      <t>ムヨウ</t>
    </rPh>
    <phoneticPr fontId="2"/>
  </si>
  <si>
    <t>算入不要</t>
    <rPh sb="0" eb="2">
      <t>サンニュウ</t>
    </rPh>
    <rPh sb="2" eb="4">
      <t>フヨウ</t>
    </rPh>
    <phoneticPr fontId="2"/>
  </si>
  <si>
    <t>ナルファルトプライマー</t>
    <phoneticPr fontId="2"/>
  </si>
  <si>
    <t>ナルファルトWP</t>
    <phoneticPr fontId="2"/>
  </si>
  <si>
    <t>18kgﾎﾟﾘﾍﾟｰﾙ缶</t>
    <rPh sb="11" eb="12">
      <t>カン</t>
    </rPh>
    <phoneticPr fontId="2"/>
  </si>
  <si>
    <t>1.0kg/㎡</t>
    <phoneticPr fontId="2"/>
  </si>
  <si>
    <t>ナルシートN複合防水</t>
    <rPh sb="6" eb="8">
      <t>フクゴウ</t>
    </rPh>
    <rPh sb="8" eb="10">
      <t>ボウスイ</t>
    </rPh>
    <phoneticPr fontId="2"/>
  </si>
  <si>
    <t>ナルシートN（密着）</t>
    <rPh sb="7" eb="9">
      <t>ミッチャク</t>
    </rPh>
    <phoneticPr fontId="2"/>
  </si>
  <si>
    <t>16ｍ巻</t>
    <rPh sb="3" eb="4">
      <t>マ</t>
    </rPh>
    <phoneticPr fontId="2"/>
  </si>
  <si>
    <t>(荷姿23kgの場合）</t>
    <rPh sb="1" eb="2">
      <t>ニ</t>
    </rPh>
    <rPh sb="2" eb="3">
      <t>スガタ</t>
    </rPh>
    <rPh sb="8" eb="10">
      <t>バアイ</t>
    </rPh>
    <phoneticPr fontId="2"/>
  </si>
  <si>
    <t>23kgﾎﾟﾘﾍﾟｰﾙ缶</t>
    <rPh sb="11" eb="12">
      <t>カン</t>
    </rPh>
    <phoneticPr fontId="2"/>
  </si>
  <si>
    <t>10kg缶　(別売り）</t>
    <rPh sb="4" eb="5">
      <t>カン</t>
    </rPh>
    <rPh sb="7" eb="8">
      <t>ベツ</t>
    </rPh>
    <rPh sb="8" eb="9">
      <t>ウ</t>
    </rPh>
    <phoneticPr fontId="2"/>
  </si>
  <si>
    <t>ナルシートN（絶縁）</t>
    <rPh sb="7" eb="9">
      <t>ゼツエン</t>
    </rPh>
    <phoneticPr fontId="2"/>
  </si>
  <si>
    <t>床　絶縁ﾌｨﾙﾑ</t>
    <rPh sb="0" eb="1">
      <t>ユカ</t>
    </rPh>
    <rPh sb="2" eb="4">
      <t>ゼツエン</t>
    </rPh>
    <phoneticPr fontId="2"/>
  </si>
  <si>
    <t>立上り　トンボ</t>
    <rPh sb="0" eb="2">
      <t>タチアガ</t>
    </rPh>
    <phoneticPr fontId="2"/>
  </si>
  <si>
    <t>トンボ</t>
    <phoneticPr fontId="2"/>
  </si>
  <si>
    <t>ケ</t>
    <phoneticPr fontId="2"/>
  </si>
  <si>
    <r>
      <t>1</t>
    </r>
    <r>
      <rPr>
        <sz val="11"/>
        <rFont val="ＭＳ Ｐゴシック"/>
        <family val="3"/>
        <charset val="128"/>
      </rPr>
      <t>2ケ/㎡</t>
    </r>
    <phoneticPr fontId="2"/>
  </si>
  <si>
    <t>16m巻</t>
    <rPh sb="3" eb="4">
      <t>マキ</t>
    </rPh>
    <phoneticPr fontId="2"/>
  </si>
  <si>
    <t>改質ｱｽﾌｧﾙﾄｼｰﾄ</t>
    <rPh sb="0" eb="2">
      <t>カイシツ</t>
    </rPh>
    <phoneticPr fontId="2"/>
  </si>
  <si>
    <t>成瀬化学㈱</t>
    <rPh sb="0" eb="2">
      <t>ナルセ</t>
    </rPh>
    <rPh sb="2" eb="4">
      <t>カガク</t>
    </rPh>
    <phoneticPr fontId="2"/>
  </si>
  <si>
    <t>不織布　　105ｃｍ幅</t>
    <rPh sb="0" eb="1">
      <t>フ</t>
    </rPh>
    <rPh sb="1" eb="2">
      <t>ショク</t>
    </rPh>
    <rPh sb="2" eb="3">
      <t>フ</t>
    </rPh>
    <rPh sb="10" eb="11">
      <t>ハバ</t>
    </rPh>
    <phoneticPr fontId="2"/>
  </si>
  <si>
    <t>不織布　　　20cm幅</t>
    <rPh sb="0" eb="1">
      <t>フ</t>
    </rPh>
    <rPh sb="1" eb="2">
      <t>ショク</t>
    </rPh>
    <rPh sb="2" eb="3">
      <t>フ</t>
    </rPh>
    <rPh sb="10" eb="11">
      <t>ハバ</t>
    </rPh>
    <phoneticPr fontId="2"/>
  </si>
  <si>
    <t>ﾅﾙﾌｧﾙﾄWP（23kg）</t>
    <phoneticPr fontId="2"/>
  </si>
  <si>
    <t>t35 910×1820</t>
    <phoneticPr fontId="2"/>
  </si>
  <si>
    <t>断熱点張り用</t>
    <rPh sb="0" eb="2">
      <t>ダンネツ</t>
    </rPh>
    <rPh sb="2" eb="3">
      <t>テン</t>
    </rPh>
    <rPh sb="3" eb="4">
      <t>ハ</t>
    </rPh>
    <rPh sb="5" eb="6">
      <t>ヨウ</t>
    </rPh>
    <phoneticPr fontId="2"/>
  </si>
  <si>
    <t>ﾎﾟﾘｽﾁﾚﾝﾌｫｰﾑ　B類3種</t>
    <rPh sb="13" eb="14">
      <t>ルイ</t>
    </rPh>
    <rPh sb="15" eb="16">
      <t>シュ</t>
    </rPh>
    <phoneticPr fontId="2"/>
  </si>
  <si>
    <t>遮熱トップ　軽歩行</t>
    <rPh sb="0" eb="1">
      <t>シャ</t>
    </rPh>
    <rPh sb="1" eb="2">
      <t>ネツ</t>
    </rPh>
    <rPh sb="6" eb="7">
      <t>ケイ</t>
    </rPh>
    <rPh sb="7" eb="9">
      <t>ホコウ</t>
    </rPh>
    <phoneticPr fontId="2"/>
  </si>
  <si>
    <t>ナルファルトトップー遮熱S</t>
    <rPh sb="10" eb="11">
      <t>シャ</t>
    </rPh>
    <rPh sb="11" eb="12">
      <t>ネツ</t>
    </rPh>
    <phoneticPr fontId="2"/>
  </si>
  <si>
    <t>20kg石油缶</t>
    <rPh sb="4" eb="6">
      <t>セキユ</t>
    </rPh>
    <rPh sb="6" eb="7">
      <t>カン</t>
    </rPh>
    <phoneticPr fontId="2"/>
  </si>
  <si>
    <t>遮熱トップ　非歩行</t>
    <rPh sb="0" eb="1">
      <t>シャ</t>
    </rPh>
    <rPh sb="1" eb="2">
      <t>ネツ</t>
    </rPh>
    <rPh sb="6" eb="7">
      <t>ヒ</t>
    </rPh>
    <rPh sb="7" eb="9">
      <t>ホコウ</t>
    </rPh>
    <phoneticPr fontId="2"/>
  </si>
  <si>
    <t>ナルファルトトップー遮熱P</t>
    <rPh sb="10" eb="11">
      <t>シャ</t>
    </rPh>
    <rPh sb="11" eb="12">
      <t>ネツ</t>
    </rPh>
    <phoneticPr fontId="2"/>
  </si>
  <si>
    <t>いずれか選択</t>
    <rPh sb="4" eb="6">
      <t>センタク</t>
    </rPh>
    <phoneticPr fontId="2"/>
  </si>
  <si>
    <t>備考</t>
    <rPh sb="0" eb="2">
      <t>ビコウ</t>
    </rPh>
    <phoneticPr fontId="2"/>
  </si>
  <si>
    <t>通常　軽歩行</t>
    <rPh sb="0" eb="2">
      <t>ツウジョウ</t>
    </rPh>
    <rPh sb="3" eb="4">
      <t>ケイ</t>
    </rPh>
    <rPh sb="4" eb="6">
      <t>ホコウ</t>
    </rPh>
    <phoneticPr fontId="2"/>
  </si>
  <si>
    <t>通常　非歩行</t>
    <rPh sb="0" eb="2">
      <t>ツウジョウ</t>
    </rPh>
    <rPh sb="3" eb="4">
      <t>ヒ</t>
    </rPh>
    <rPh sb="4" eb="6">
      <t>ホコウ</t>
    </rPh>
    <phoneticPr fontId="2"/>
  </si>
  <si>
    <t>15kg石油缶</t>
    <rPh sb="4" eb="6">
      <t>セキユ</t>
    </rPh>
    <rPh sb="6" eb="7">
      <t>カン</t>
    </rPh>
    <phoneticPr fontId="2"/>
  </si>
  <si>
    <t>高耐久Pトップ</t>
    <rPh sb="0" eb="1">
      <t>コウ</t>
    </rPh>
    <rPh sb="1" eb="3">
      <t>タイキュウ</t>
    </rPh>
    <phoneticPr fontId="2"/>
  </si>
  <si>
    <t>高耐久Sトップ</t>
    <rPh sb="0" eb="1">
      <t>コウ</t>
    </rPh>
    <rPh sb="1" eb="3">
      <t>タイキュウ</t>
    </rPh>
    <phoneticPr fontId="2"/>
  </si>
  <si>
    <t>算入必須</t>
    <rPh sb="0" eb="2">
      <t>サンニュウ</t>
    </rPh>
    <rPh sb="2" eb="4">
      <t>ヒッス</t>
    </rPh>
    <phoneticPr fontId="2"/>
  </si>
  <si>
    <t>0.5kg/㎡</t>
    <phoneticPr fontId="2"/>
  </si>
  <si>
    <t>ナルシートN（密着）の切り分け方</t>
    <rPh sb="11" eb="12">
      <t>キ</t>
    </rPh>
    <rPh sb="13" eb="14">
      <t>ワ</t>
    </rPh>
    <rPh sb="15" eb="16">
      <t>カタ</t>
    </rPh>
    <phoneticPr fontId="2"/>
  </si>
  <si>
    <t>①幅20cmを2本と幅60cmを１本の3分割で算定しています。   60cm+20cm+20cm</t>
    <phoneticPr fontId="2"/>
  </si>
  <si>
    <t>1.1㎡／㎡</t>
    <phoneticPr fontId="2"/>
  </si>
  <si>
    <t>ナルファルトトップS</t>
    <phoneticPr fontId="2"/>
  </si>
  <si>
    <t>ナルファルトトップP</t>
    <phoneticPr fontId="2"/>
  </si>
  <si>
    <t>0.3kg/㎡</t>
    <phoneticPr fontId="2"/>
  </si>
  <si>
    <t>ﾅﾙﾌｧﾙﾄﾄｯﾌﾟ_ﾊｰﾄﾞP</t>
    <phoneticPr fontId="2"/>
  </si>
  <si>
    <t>ﾅﾙﾌｧﾙﾄﾄｯﾌﾟ_ﾊｰﾄﾞS</t>
    <phoneticPr fontId="2"/>
  </si>
  <si>
    <t>0.8kg/㎡</t>
    <phoneticPr fontId="2"/>
  </si>
  <si>
    <t>ヶ</t>
    <phoneticPr fontId="2"/>
  </si>
  <si>
    <t>②幅50cmを2本の2分割。幅20㎝を5本の5分割で算定しています。  50cm+50cm, 20cm×５巻</t>
    <rPh sb="1" eb="2">
      <t>ハバ</t>
    </rPh>
    <rPh sb="8" eb="9">
      <t>ホン</t>
    </rPh>
    <rPh sb="11" eb="13">
      <t>ブンカツ</t>
    </rPh>
    <rPh sb="14" eb="15">
      <t>ハバ</t>
    </rPh>
    <rPh sb="20" eb="21">
      <t>ホン</t>
    </rPh>
    <rPh sb="23" eb="25">
      <t>ブンカツ</t>
    </rPh>
    <rPh sb="26" eb="28">
      <t>サンテイ</t>
    </rPh>
    <rPh sb="53" eb="54">
      <t>マ</t>
    </rPh>
    <phoneticPr fontId="2"/>
  </si>
  <si>
    <t>1.2kg/㎡</t>
    <phoneticPr fontId="2"/>
  </si>
  <si>
    <t>立上り　補強布</t>
    <rPh sb="0" eb="2">
      <t>タチアガ</t>
    </rPh>
    <rPh sb="4" eb="6">
      <t>ホキョウ</t>
    </rPh>
    <rPh sb="6" eb="7">
      <t>フ</t>
    </rPh>
    <phoneticPr fontId="2"/>
  </si>
  <si>
    <t>立上り不織布張り用</t>
    <rPh sb="0" eb="2">
      <t>タチアガ</t>
    </rPh>
    <rPh sb="3" eb="6">
      <t>フショクフ</t>
    </rPh>
    <rPh sb="6" eb="7">
      <t>ハ</t>
    </rPh>
    <rPh sb="8" eb="9">
      <t>ヨウ</t>
    </rPh>
    <phoneticPr fontId="2"/>
  </si>
  <si>
    <t>全面　上塗り防水用</t>
    <rPh sb="0" eb="2">
      <t>ゼンメン</t>
    </rPh>
    <rPh sb="3" eb="5">
      <t>ウワヌ</t>
    </rPh>
    <rPh sb="6" eb="9">
      <t>ボウスイヨウ</t>
    </rPh>
    <phoneticPr fontId="2"/>
  </si>
  <si>
    <t>増張り用</t>
    <rPh sb="0" eb="1">
      <t>マ</t>
    </rPh>
    <rPh sb="1" eb="2">
      <t>ハ</t>
    </rPh>
    <rPh sb="3" eb="4">
      <t>ヨウ</t>
    </rPh>
    <phoneticPr fontId="2"/>
  </si>
  <si>
    <t>増し張り用　補強布</t>
    <rPh sb="0" eb="1">
      <t>マ</t>
    </rPh>
    <rPh sb="2" eb="3">
      <t>バ</t>
    </rPh>
    <rPh sb="4" eb="5">
      <t>ヨウ</t>
    </rPh>
    <rPh sb="6" eb="8">
      <t>ホキョウ</t>
    </rPh>
    <rPh sb="8" eb="9">
      <t>フ</t>
    </rPh>
    <phoneticPr fontId="2"/>
  </si>
  <si>
    <t>不織布　　20㎝幅</t>
    <rPh sb="0" eb="3">
      <t>フショクフ</t>
    </rPh>
    <rPh sb="8" eb="9">
      <t>ハバ</t>
    </rPh>
    <phoneticPr fontId="2"/>
  </si>
  <si>
    <t>巻</t>
    <rPh sb="0" eb="1">
      <t>マキ</t>
    </rPh>
    <phoneticPr fontId="2"/>
  </si>
  <si>
    <t>立上り補強布張り用</t>
    <rPh sb="0" eb="2">
      <t>タチアガ</t>
    </rPh>
    <rPh sb="3" eb="5">
      <t>ホキョウ</t>
    </rPh>
    <rPh sb="5" eb="6">
      <t>フ</t>
    </rPh>
    <rPh sb="6" eb="7">
      <t>ハリ</t>
    </rPh>
    <rPh sb="8" eb="9">
      <t>ヨウ</t>
    </rPh>
    <phoneticPr fontId="2"/>
  </si>
  <si>
    <t>12kg/㎡</t>
    <phoneticPr fontId="2"/>
  </si>
  <si>
    <t>日付</t>
    <rPh sb="0" eb="2">
      <t>ヒヅケ</t>
    </rPh>
    <phoneticPr fontId="2"/>
  </si>
  <si>
    <t>編集者</t>
    <rPh sb="0" eb="3">
      <t>ヘンシュウシャ</t>
    </rPh>
    <phoneticPr fontId="2"/>
  </si>
  <si>
    <t>編集内容</t>
    <rPh sb="0" eb="2">
      <t>ヘンシュウ</t>
    </rPh>
    <rPh sb="2" eb="4">
      <t>ナイヨウ</t>
    </rPh>
    <phoneticPr fontId="2"/>
  </si>
  <si>
    <t>石原</t>
    <rPh sb="0" eb="2">
      <t>イシハラ</t>
    </rPh>
    <phoneticPr fontId="2"/>
  </si>
  <si>
    <t>工法記号新規に訂正</t>
    <rPh sb="0" eb="2">
      <t>コウホウ</t>
    </rPh>
    <rPh sb="2" eb="4">
      <t>キゴウ</t>
    </rPh>
    <rPh sb="4" eb="6">
      <t>シンキ</t>
    </rPh>
    <rPh sb="7" eb="9">
      <t>テイセイ</t>
    </rPh>
    <phoneticPr fontId="2"/>
  </si>
  <si>
    <t>保護密着工法　　N-2０-PM</t>
    <rPh sb="0" eb="2">
      <t>ホゴ</t>
    </rPh>
    <rPh sb="2" eb="4">
      <t>ミッチャク</t>
    </rPh>
    <rPh sb="4" eb="6">
      <t>コウホウ</t>
    </rPh>
    <phoneticPr fontId="2"/>
  </si>
  <si>
    <t>屋根露出絶縁工法　　NZ-20-TP,-TS,-HP,-HS,-SP,-SS</t>
    <rPh sb="0" eb="2">
      <t>ヤネ</t>
    </rPh>
    <rPh sb="2" eb="4">
      <t>ロシュツ</t>
    </rPh>
    <rPh sb="4" eb="6">
      <t>ゼツエン</t>
    </rPh>
    <rPh sb="6" eb="8">
      <t>コウホウ</t>
    </rPh>
    <phoneticPr fontId="2"/>
  </si>
  <si>
    <t>何れか選択</t>
    <rPh sb="0" eb="1">
      <t>イズ</t>
    </rPh>
    <rPh sb="3" eb="5">
      <t>センタク</t>
    </rPh>
    <phoneticPr fontId="2"/>
  </si>
  <si>
    <t>露出密着工法　　N-2０-HP、－HS、－SP,-SS</t>
    <rPh sb="0" eb="2">
      <t>ロシュツ</t>
    </rPh>
    <rPh sb="2" eb="4">
      <t>ミッチャク</t>
    </rPh>
    <rPh sb="4" eb="6">
      <t>コウホウ</t>
    </rPh>
    <phoneticPr fontId="2"/>
  </si>
  <si>
    <t>高耐久遮熱</t>
    <rPh sb="0" eb="1">
      <t>コウ</t>
    </rPh>
    <rPh sb="1" eb="3">
      <t>タイキュウ</t>
    </rPh>
    <rPh sb="3" eb="5">
      <t>シャネツ</t>
    </rPh>
    <phoneticPr fontId="2"/>
  </si>
  <si>
    <t>16kg石油缶</t>
    <rPh sb="4" eb="6">
      <t>セキユ</t>
    </rPh>
    <rPh sb="6" eb="7">
      <t>カン</t>
    </rPh>
    <phoneticPr fontId="2"/>
  </si>
  <si>
    <t>両方必要</t>
    <rPh sb="0" eb="2">
      <t>リョウホウ</t>
    </rPh>
    <rPh sb="2" eb="4">
      <t>ヒツヨウ</t>
    </rPh>
    <phoneticPr fontId="2"/>
  </si>
  <si>
    <t>露出仕様に高耐久遮熱を追加</t>
    <rPh sb="0" eb="2">
      <t>ロシュツ</t>
    </rPh>
    <rPh sb="2" eb="4">
      <t>シヨウ</t>
    </rPh>
    <rPh sb="5" eb="10">
      <t>コウタイキュウシャネツ</t>
    </rPh>
    <rPh sb="11" eb="13">
      <t>ツイカ</t>
    </rPh>
    <phoneticPr fontId="2"/>
  </si>
  <si>
    <t>Sheet「編集履歴」追加</t>
    <rPh sb="6" eb="8">
      <t>ヘンシュウ</t>
    </rPh>
    <rPh sb="8" eb="10">
      <t>リレキ</t>
    </rPh>
    <rPh sb="11" eb="13">
      <t>ツイカ</t>
    </rPh>
    <phoneticPr fontId="2"/>
  </si>
  <si>
    <t>Sheet[N-20露出シート」を追加</t>
    <rPh sb="10" eb="12">
      <t>ロシュツ</t>
    </rPh>
    <rPh sb="17" eb="19">
      <t>ツイカ</t>
    </rPh>
    <phoneticPr fontId="2"/>
  </si>
  <si>
    <t>E-2対応</t>
    <rPh sb="3" eb="5">
      <t>タイオウ</t>
    </rPh>
    <phoneticPr fontId="2"/>
  </si>
  <si>
    <t>C-2,C-4対応</t>
    <rPh sb="7" eb="9">
      <t>タイオウ</t>
    </rPh>
    <phoneticPr fontId="2"/>
  </si>
  <si>
    <t>保護断熱密着工法　　N-20-PD</t>
    <rPh sb="0" eb="2">
      <t>ホゴ</t>
    </rPh>
    <rPh sb="2" eb="4">
      <t>ダンネツ</t>
    </rPh>
    <rPh sb="4" eb="6">
      <t>ミッチャク</t>
    </rPh>
    <rPh sb="6" eb="8">
      <t>コウホウ</t>
    </rPh>
    <phoneticPr fontId="2"/>
  </si>
  <si>
    <t>屋根保護絶縁工法　　NZ-20-PM</t>
    <rPh sb="0" eb="2">
      <t>ヤネ</t>
    </rPh>
    <rPh sb="2" eb="4">
      <t>ホゴ</t>
    </rPh>
    <rPh sb="4" eb="6">
      <t>ゼツエン</t>
    </rPh>
    <rPh sb="6" eb="8">
      <t>コウホウ</t>
    </rPh>
    <phoneticPr fontId="2"/>
  </si>
  <si>
    <t>幅50cmを2本の2分割。幅20㎝を5本の5分割で算定しています。  50cm+50cm, 20cm×５巻</t>
    <rPh sb="0" eb="1">
      <t>ハバ</t>
    </rPh>
    <rPh sb="7" eb="8">
      <t>ホン</t>
    </rPh>
    <rPh sb="10" eb="12">
      <t>ブンカツ</t>
    </rPh>
    <rPh sb="13" eb="14">
      <t>ハバ</t>
    </rPh>
    <rPh sb="19" eb="20">
      <t>ホン</t>
    </rPh>
    <rPh sb="22" eb="24">
      <t>ブンカツ</t>
    </rPh>
    <rPh sb="25" eb="27">
      <t>サンテイ</t>
    </rPh>
    <rPh sb="52" eb="53">
      <t>マ</t>
    </rPh>
    <phoneticPr fontId="2"/>
  </si>
  <si>
    <t>NZ-20-PM追加</t>
    <rPh sb="8" eb="10">
      <t>ツイカ</t>
    </rPh>
    <phoneticPr fontId="2"/>
  </si>
  <si>
    <t>屋根保護絶縁工法　　NZ-20-PD</t>
    <rPh sb="0" eb="2">
      <t>ヤネ</t>
    </rPh>
    <rPh sb="2" eb="4">
      <t>ホゴ</t>
    </rPh>
    <rPh sb="4" eb="6">
      <t>ゼツエン</t>
    </rPh>
    <rPh sb="6" eb="8">
      <t>コウホウ</t>
    </rPh>
    <phoneticPr fontId="2"/>
  </si>
  <si>
    <t>遮熱P　荷姿変更</t>
    <rPh sb="0" eb="2">
      <t>シャネツ</t>
    </rPh>
    <rPh sb="4" eb="6">
      <t>ニスガタ</t>
    </rPh>
    <rPh sb="6" eb="8">
      <t>ヘンコウ</t>
    </rPh>
    <phoneticPr fontId="2"/>
  </si>
  <si>
    <t>ｸｰﾙﾄｯﾌﾟ#300Si 商品名変更　ｸｰﾙﾄｯﾌﾟｾﾗSi</t>
    <rPh sb="14" eb="17">
      <t>ショウヒンメイ</t>
    </rPh>
    <rPh sb="17" eb="19">
      <t>ヘンコウ</t>
    </rPh>
    <phoneticPr fontId="2"/>
  </si>
  <si>
    <t>クールトップ　セラSi</t>
    <phoneticPr fontId="2"/>
  </si>
  <si>
    <t>0.4kg/㎡</t>
    <phoneticPr fontId="2"/>
  </si>
  <si>
    <t>ｸｰﾙﾄｯﾌﾟ　セラSi　塗布量　0.4kg/㎡に訂正</t>
    <rPh sb="13" eb="16">
      <t>トフリョウ</t>
    </rPh>
    <rPh sb="25" eb="27">
      <t>テイセイ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</si>
</sst>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[$-F800]dddd\,\ mmmm\ dd\,\ yyyy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1" fillId="0" borderId="0"/>
  </cellStyleXfs>
  <cellXfs count="1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4" fillId="3" borderId="5" xfId="0" applyNumberFormat="1" applyFont="1" applyFill="1" applyBorder="1" applyAlignment="1">
      <alignment horizontal="right" vertical="center"/>
    </xf>
    <xf numFmtId="2" fontId="4" fillId="4" borderId="5" xfId="0" applyNumberFormat="1" applyFont="1" applyFill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38" fontId="8" fillId="2" borderId="1" xfId="3" applyFont="1" applyFill="1" applyBorder="1" applyAlignment="1">
      <alignment horizontal="right" vertical="center"/>
    </xf>
    <xf numFmtId="38" fontId="8" fillId="2" borderId="1" xfId="3" applyFont="1" applyFill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38" fontId="8" fillId="2" borderId="7" xfId="3" applyFont="1" applyFill="1" applyBorder="1" applyAlignment="1">
      <alignment horizontal="right" vertical="center"/>
    </xf>
    <xf numFmtId="38" fontId="0" fillId="0" borderId="1" xfId="3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8" fillId="5" borderId="8" xfId="3" applyFont="1" applyFill="1" applyBorder="1" applyAlignment="1">
      <alignment horizontal="center" vertical="center"/>
    </xf>
    <xf numFmtId="38" fontId="9" fillId="5" borderId="8" xfId="3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38" fontId="9" fillId="5" borderId="10" xfId="3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7" fontId="4" fillId="4" borderId="12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38" fontId="8" fillId="2" borderId="8" xfId="3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8" fillId="2" borderId="1" xfId="3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38" fontId="4" fillId="4" borderId="6" xfId="3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5" applyBorder="1" applyAlignment="1">
      <alignment horizontal="center" vertical="center"/>
    </xf>
    <xf numFmtId="9" fontId="8" fillId="0" borderId="0" xfId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38" fontId="6" fillId="2" borderId="5" xfId="3" applyFont="1" applyFill="1" applyBorder="1" applyAlignment="1">
      <alignment horizontal="center" vertical="center"/>
    </xf>
    <xf numFmtId="38" fontId="4" fillId="2" borderId="5" xfId="3" applyFont="1" applyFill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6" fontId="0" fillId="0" borderId="2" xfId="3" applyNumberFormat="1" applyFont="1" applyBorder="1" applyAlignment="1">
      <alignment horizontal="center" vertical="center"/>
    </xf>
    <xf numFmtId="0" fontId="0" fillId="0" borderId="7" xfId="5" applyFont="1" applyBorder="1" applyAlignment="1">
      <alignment horizontal="center" vertical="center"/>
    </xf>
    <xf numFmtId="176" fontId="8" fillId="0" borderId="2" xfId="3" applyNumberFormat="1" applyFont="1" applyBorder="1" applyAlignment="1">
      <alignment horizontal="center" vertical="center"/>
    </xf>
    <xf numFmtId="0" fontId="8" fillId="0" borderId="7" xfId="5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5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76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38" fontId="9" fillId="5" borderId="5" xfId="4" applyFont="1" applyFill="1" applyBorder="1" applyAlignment="1">
      <alignment horizontal="center" vertical="center"/>
    </xf>
    <xf numFmtId="38" fontId="8" fillId="5" borderId="1" xfId="4" applyFill="1" applyBorder="1" applyAlignment="1">
      <alignment horizontal="center" vertical="center"/>
    </xf>
    <xf numFmtId="38" fontId="9" fillId="5" borderId="1" xfId="4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38" fontId="8" fillId="2" borderId="1" xfId="4" applyFill="1" applyBorder="1" applyAlignment="1">
      <alignment horizontal="right" vertical="center"/>
    </xf>
    <xf numFmtId="38" fontId="8" fillId="2" borderId="1" xfId="4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4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38" fontId="6" fillId="0" borderId="0" xfId="4" applyFont="1" applyAlignment="1">
      <alignment horizontal="center" vertical="center"/>
    </xf>
    <xf numFmtId="38" fontId="8" fillId="0" borderId="0" xfId="4" applyAlignment="1">
      <alignment horizontal="right" vertical="center"/>
    </xf>
    <xf numFmtId="38" fontId="8" fillId="0" borderId="0" xfId="4" applyAlignment="1">
      <alignment vertical="center"/>
    </xf>
    <xf numFmtId="176" fontId="0" fillId="0" borderId="0" xfId="0" applyNumberForma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8" fillId="2" borderId="1" xfId="4" applyFill="1" applyBorder="1" applyAlignment="1">
      <alignment horizontal="center" vertical="center"/>
    </xf>
    <xf numFmtId="38" fontId="8" fillId="2" borderId="7" xfId="4" applyFill="1" applyBorder="1" applyAlignment="1">
      <alignment horizontal="right" vertical="center"/>
    </xf>
    <xf numFmtId="176" fontId="8" fillId="0" borderId="2" xfId="4" applyNumberFormat="1" applyBorder="1" applyAlignment="1">
      <alignment horizontal="center" vertical="center"/>
    </xf>
    <xf numFmtId="38" fontId="8" fillId="0" borderId="1" xfId="4" applyBorder="1" applyAlignment="1">
      <alignment vertical="center"/>
    </xf>
    <xf numFmtId="9" fontId="8" fillId="0" borderId="0" xfId="2" applyAlignment="1">
      <alignment vertical="center"/>
    </xf>
    <xf numFmtId="38" fontId="9" fillId="5" borderId="10" xfId="4" applyFont="1" applyFill="1" applyBorder="1" applyAlignment="1">
      <alignment horizontal="center" vertical="center"/>
    </xf>
    <xf numFmtId="38" fontId="8" fillId="5" borderId="8" xfId="4" applyFill="1" applyBorder="1" applyAlignment="1">
      <alignment horizontal="center" vertical="center"/>
    </xf>
    <xf numFmtId="38" fontId="9" fillId="5" borderId="8" xfId="4" applyFont="1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38" fontId="6" fillId="2" borderId="6" xfId="4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4" borderId="12" xfId="0" applyNumberFormat="1" applyFont="1" applyFill="1" applyBorder="1" applyAlignment="1">
      <alignment horizontal="center" vertical="center"/>
    </xf>
    <xf numFmtId="176" fontId="4" fillId="2" borderId="5" xfId="3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176" fontId="4" fillId="4" borderId="6" xfId="3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4" fillId="2" borderId="5" xfId="4" applyNumberFormat="1" applyFont="1" applyFill="1" applyBorder="1" applyAlignment="1">
      <alignment horizontal="center" vertical="center"/>
    </xf>
    <xf numFmtId="176" fontId="4" fillId="4" borderId="15" xfId="0" applyNumberFormat="1" applyFont="1" applyFill="1" applyBorder="1" applyAlignment="1">
      <alignment horizontal="center" vertical="center"/>
    </xf>
    <xf numFmtId="177" fontId="1" fillId="0" borderId="16" xfId="0" applyNumberFormat="1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2" borderId="5" xfId="4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1" fillId="0" borderId="2" xfId="6" applyBorder="1" applyAlignment="1">
      <alignment horizontal="center" vertical="center"/>
    </xf>
    <xf numFmtId="176" fontId="1" fillId="0" borderId="2" xfId="6" applyNumberFormat="1" applyBorder="1" applyAlignment="1">
      <alignment horizontal="center" vertical="center"/>
    </xf>
    <xf numFmtId="177" fontId="4" fillId="4" borderId="12" xfId="6" applyNumberFormat="1" applyFont="1" applyFill="1" applyBorder="1" applyAlignment="1">
      <alignment horizontal="center" vertical="center"/>
    </xf>
    <xf numFmtId="0" fontId="1" fillId="0" borderId="7" xfId="6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2" borderId="1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8" fillId="2" borderId="8" xfId="3" applyFont="1" applyFill="1" applyBorder="1" applyAlignment="1">
      <alignment horizontal="right" vertical="center"/>
    </xf>
    <xf numFmtId="38" fontId="8" fillId="2" borderId="14" xfId="3" applyFont="1" applyFill="1" applyBorder="1" applyAlignment="1">
      <alignment horizontal="right" vertical="center"/>
    </xf>
    <xf numFmtId="38" fontId="8" fillId="2" borderId="4" xfId="3" applyFon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4" fillId="4" borderId="10" xfId="0" applyNumberFormat="1" applyFont="1" applyFill="1" applyBorder="1" applyAlignment="1">
      <alignment horizontal="center" vertical="center"/>
    </xf>
    <xf numFmtId="176" fontId="4" fillId="4" borderId="18" xfId="0" applyNumberFormat="1" applyFont="1" applyFill="1" applyBorder="1" applyAlignment="1">
      <alignment horizontal="center" vertical="center"/>
    </xf>
    <xf numFmtId="176" fontId="4" fillId="4" borderId="1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4" fillId="4" borderId="10" xfId="0" applyNumberFormat="1" applyFont="1" applyFill="1" applyBorder="1" applyAlignment="1">
      <alignment horizontal="center" vertical="center"/>
    </xf>
    <xf numFmtId="177" fontId="4" fillId="4" borderId="18" xfId="0" applyNumberFormat="1" applyFont="1" applyFill="1" applyBorder="1" applyAlignment="1">
      <alignment horizontal="center" vertical="center"/>
    </xf>
    <xf numFmtId="177" fontId="4" fillId="4" borderId="12" xfId="0" applyNumberFormat="1" applyFon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38" fontId="8" fillId="2" borderId="8" xfId="4" applyFill="1" applyBorder="1" applyAlignment="1">
      <alignment horizontal="right" vertical="center"/>
    </xf>
    <xf numFmtId="38" fontId="8" fillId="2" borderId="14" xfId="4" applyFill="1" applyBorder="1" applyAlignment="1">
      <alignment horizontal="right" vertical="center"/>
    </xf>
    <xf numFmtId="38" fontId="8" fillId="2" borderId="4" xfId="4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</cellXfs>
  <cellStyles count="7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  <cellStyle name="標準 2" xfId="6" xr:uid="{093E14DF-94D6-4B51-B577-9AB5359B7812}"/>
    <cellStyle name="標準_05ナルファルトWP材料数量計算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13"/>
  <sheetViews>
    <sheetView topLeftCell="A7" workbookViewId="0">
      <selection activeCell="A11" sqref="A11"/>
    </sheetView>
  </sheetViews>
  <sheetFormatPr defaultRowHeight="13.5"/>
  <cols>
    <col min="1" max="1" width="11.5" customWidth="1"/>
    <col min="2" max="2" width="8.875" style="106"/>
    <col min="3" max="3" width="52.5" customWidth="1"/>
  </cols>
  <sheetData>
    <row r="2" spans="1:3" ht="20.45" customHeight="1">
      <c r="A2" s="105" t="s">
        <v>109</v>
      </c>
      <c r="B2" s="105" t="s">
        <v>110</v>
      </c>
      <c r="C2" s="105" t="s">
        <v>111</v>
      </c>
    </row>
    <row r="3" spans="1:3">
      <c r="A3" s="104">
        <v>43095</v>
      </c>
      <c r="B3" s="105" t="s">
        <v>112</v>
      </c>
      <c r="C3" s="103" t="s">
        <v>122</v>
      </c>
    </row>
    <row r="4" spans="1:3">
      <c r="A4" s="104">
        <v>43095</v>
      </c>
      <c r="B4" s="105" t="s">
        <v>112</v>
      </c>
      <c r="C4" s="103" t="s">
        <v>113</v>
      </c>
    </row>
    <row r="5" spans="1:3">
      <c r="A5" s="104">
        <v>43095</v>
      </c>
      <c r="B5" s="105" t="s">
        <v>112</v>
      </c>
      <c r="C5" s="103" t="s">
        <v>123</v>
      </c>
    </row>
    <row r="6" spans="1:3">
      <c r="A6" s="104">
        <v>43095</v>
      </c>
      <c r="B6" s="105" t="s">
        <v>112</v>
      </c>
      <c r="C6" s="103" t="s">
        <v>121</v>
      </c>
    </row>
    <row r="7" spans="1:3">
      <c r="A7" s="104">
        <v>43549</v>
      </c>
      <c r="B7" s="105" t="s">
        <v>112</v>
      </c>
      <c r="C7" s="103" t="s">
        <v>129</v>
      </c>
    </row>
    <row r="8" spans="1:3">
      <c r="A8" s="104">
        <v>43864</v>
      </c>
      <c r="B8" s="105" t="s">
        <v>112</v>
      </c>
      <c r="C8" s="103" t="s">
        <v>131</v>
      </c>
    </row>
    <row r="9" spans="1:3">
      <c r="A9" s="104">
        <v>44137</v>
      </c>
      <c r="B9" s="105" t="s">
        <v>112</v>
      </c>
      <c r="C9" s="103" t="s">
        <v>132</v>
      </c>
    </row>
    <row r="10" spans="1:3">
      <c r="A10" s="104">
        <v>44137</v>
      </c>
      <c r="B10" s="105" t="s">
        <v>112</v>
      </c>
      <c r="C10" s="103" t="s">
        <v>135</v>
      </c>
    </row>
    <row r="11" spans="1:3">
      <c r="A11" s="103"/>
      <c r="B11" s="105"/>
      <c r="C11" s="103"/>
    </row>
    <row r="12" spans="1:3">
      <c r="A12" s="103"/>
      <c r="B12" s="105"/>
      <c r="C12" s="103"/>
    </row>
    <row r="13" spans="1:3">
      <c r="A13" s="103"/>
      <c r="B13" s="105"/>
      <c r="C13" s="103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K27"/>
  <sheetViews>
    <sheetView workbookViewId="0">
      <selection activeCell="G8" sqref="G8"/>
    </sheetView>
  </sheetViews>
  <sheetFormatPr defaultColWidth="9" defaultRowHeight="13.5"/>
  <cols>
    <col min="1" max="1" width="1.5" style="1" customWidth="1"/>
    <col min="2" max="2" width="19.75" style="1" customWidth="1"/>
    <col min="3" max="3" width="24.5" style="1" customWidth="1"/>
    <col min="4" max="4" width="16.25" style="1" customWidth="1"/>
    <col min="5" max="5" width="3.125" style="2" customWidth="1"/>
    <col min="6" max="6" width="8.5" style="1" bestFit="1" customWidth="1"/>
    <col min="7" max="7" width="13.25" style="1" customWidth="1"/>
    <col min="8" max="8" width="8.5" style="1" bestFit="1" customWidth="1"/>
    <col min="9" max="10" width="13.25" style="1" customWidth="1"/>
    <col min="11" max="16384" width="9" style="1"/>
  </cols>
  <sheetData>
    <row r="1" spans="1:11" ht="17.25">
      <c r="A1" s="15"/>
      <c r="C1" s="16"/>
      <c r="I1" s="120">
        <v>44137</v>
      </c>
      <c r="J1" s="120"/>
      <c r="K1" s="120"/>
    </row>
    <row r="2" spans="1:11" ht="17.25">
      <c r="A2" s="15"/>
      <c r="E2" s="1"/>
      <c r="J2" s="1" t="s">
        <v>67</v>
      </c>
    </row>
    <row r="3" spans="1:11" ht="18" thickBot="1">
      <c r="A3" s="15"/>
      <c r="B3" s="45" t="s">
        <v>53</v>
      </c>
      <c r="C3" s="9" t="s">
        <v>114</v>
      </c>
      <c r="D3" s="9"/>
      <c r="E3" s="1"/>
      <c r="F3" s="2"/>
      <c r="H3" s="11" t="s">
        <v>124</v>
      </c>
      <c r="I3" s="10"/>
    </row>
    <row r="4" spans="1:11" ht="17.25">
      <c r="A4" s="15"/>
      <c r="B4" s="1" t="s">
        <v>0</v>
      </c>
      <c r="C4" s="12" t="s">
        <v>26</v>
      </c>
      <c r="E4" s="1"/>
      <c r="F4" s="2"/>
      <c r="G4" s="7" t="s">
        <v>16</v>
      </c>
      <c r="H4" s="11"/>
      <c r="I4" s="10"/>
      <c r="J4" s="2"/>
    </row>
    <row r="5" spans="1:11" ht="19.5" customHeight="1">
      <c r="A5" s="15"/>
      <c r="C5" s="58" t="s">
        <v>86</v>
      </c>
      <c r="D5" s="3" t="s">
        <v>45</v>
      </c>
      <c r="E5" s="4" t="s">
        <v>22</v>
      </c>
      <c r="F5" s="6" t="s">
        <v>23</v>
      </c>
      <c r="G5" s="17">
        <v>0</v>
      </c>
      <c r="H5" s="11"/>
      <c r="I5" s="10"/>
    </row>
    <row r="6" spans="1:11" ht="19.5" customHeight="1">
      <c r="A6" s="15"/>
      <c r="C6" s="58" t="s">
        <v>86</v>
      </c>
      <c r="D6" s="3" t="s">
        <v>1</v>
      </c>
      <c r="E6" s="4" t="s">
        <v>24</v>
      </c>
      <c r="F6" s="6" t="s">
        <v>23</v>
      </c>
      <c r="G6" s="17">
        <v>0</v>
      </c>
      <c r="H6" s="11"/>
      <c r="I6" s="10"/>
    </row>
    <row r="7" spans="1:11" ht="19.5" customHeight="1">
      <c r="A7" s="15"/>
      <c r="C7" s="16"/>
      <c r="D7" s="3" t="s">
        <v>8</v>
      </c>
      <c r="E7" s="4"/>
      <c r="F7" s="6" t="s">
        <v>10</v>
      </c>
      <c r="G7" s="18">
        <v>0</v>
      </c>
      <c r="H7" s="11"/>
      <c r="I7" s="10"/>
    </row>
    <row r="8" spans="1:11" ht="19.5" customHeight="1">
      <c r="A8" s="15"/>
      <c r="C8" s="16"/>
      <c r="D8" s="3" t="s">
        <v>9</v>
      </c>
      <c r="E8" s="4"/>
      <c r="F8" s="6" t="s">
        <v>10</v>
      </c>
      <c r="G8" s="18" t="e">
        <f>G6/G7</f>
        <v>#DIV/0!</v>
      </c>
      <c r="H8" s="11"/>
      <c r="I8" s="10"/>
    </row>
    <row r="9" spans="1:11" ht="19.5" customHeight="1">
      <c r="A9" s="15"/>
      <c r="C9" s="16"/>
      <c r="D9" s="3" t="s">
        <v>2</v>
      </c>
      <c r="E9" s="4" t="s">
        <v>27</v>
      </c>
      <c r="F9" s="6" t="s">
        <v>23</v>
      </c>
      <c r="G9" s="17"/>
      <c r="H9" s="11"/>
      <c r="I9" s="10"/>
    </row>
    <row r="10" spans="1:11" ht="19.5" customHeight="1" thickBot="1">
      <c r="A10" s="15"/>
      <c r="C10" s="16"/>
      <c r="D10" s="3" t="s">
        <v>14</v>
      </c>
      <c r="E10" s="4"/>
      <c r="F10" s="6" t="s">
        <v>23</v>
      </c>
      <c r="G10" s="19">
        <f>G5+G6+G9</f>
        <v>0</v>
      </c>
      <c r="H10" s="11"/>
      <c r="I10" s="10"/>
    </row>
    <row r="11" spans="1:11">
      <c r="B11" s="1" t="s">
        <v>15</v>
      </c>
      <c r="C11" s="12" t="s">
        <v>18</v>
      </c>
      <c r="G11" s="7" t="s">
        <v>17</v>
      </c>
    </row>
    <row r="12" spans="1:11" ht="17.25" customHeight="1">
      <c r="B12" s="5" t="s">
        <v>6</v>
      </c>
      <c r="C12" s="5" t="s">
        <v>3</v>
      </c>
      <c r="D12" s="5" t="s">
        <v>12</v>
      </c>
      <c r="E12" s="6"/>
      <c r="F12" s="6"/>
      <c r="G12" s="34" t="s">
        <v>21</v>
      </c>
      <c r="H12" s="33" t="s">
        <v>19</v>
      </c>
      <c r="I12" s="14" t="s">
        <v>29</v>
      </c>
      <c r="J12" s="14" t="s">
        <v>30</v>
      </c>
    </row>
    <row r="13" spans="1:11" ht="17.25" customHeight="1">
      <c r="B13" s="121" t="s">
        <v>41</v>
      </c>
      <c r="C13" s="123" t="s">
        <v>49</v>
      </c>
      <c r="D13" s="26" t="s">
        <v>46</v>
      </c>
      <c r="E13" s="29" t="s">
        <v>4</v>
      </c>
      <c r="F13" s="30"/>
      <c r="G13" s="31" t="s">
        <v>47</v>
      </c>
      <c r="H13" s="32" t="s">
        <v>28</v>
      </c>
      <c r="I13" s="27"/>
      <c r="J13" s="28" t="s">
        <v>48</v>
      </c>
      <c r="K13" s="20"/>
    </row>
    <row r="14" spans="1:11" ht="17.25" customHeight="1">
      <c r="B14" s="122"/>
      <c r="C14" s="124"/>
      <c r="D14" s="40" t="s">
        <v>58</v>
      </c>
      <c r="E14" s="41" t="s">
        <v>4</v>
      </c>
      <c r="F14" s="51">
        <f>ROUNDUP(G10*0.2/10,0)</f>
        <v>0</v>
      </c>
      <c r="G14" s="49">
        <f>F14</f>
        <v>0</v>
      </c>
      <c r="H14" s="33" t="s">
        <v>28</v>
      </c>
      <c r="I14" s="37"/>
      <c r="J14" s="22">
        <f>G14*I14</f>
        <v>0</v>
      </c>
      <c r="K14" s="60"/>
    </row>
    <row r="15" spans="1:11" ht="17.25" customHeight="1">
      <c r="B15" s="26" t="s">
        <v>66</v>
      </c>
      <c r="C15" s="13" t="s">
        <v>54</v>
      </c>
      <c r="D15" s="5" t="s">
        <v>55</v>
      </c>
      <c r="E15" s="6" t="s">
        <v>7</v>
      </c>
      <c r="F15" s="23" t="e">
        <f>SUM((G5)+(G8*0.2))*1.1/16</f>
        <v>#DIV/0!</v>
      </c>
      <c r="G15" s="95" t="e">
        <f>ROUNDUP(F15,0)</f>
        <v>#DIV/0!</v>
      </c>
      <c r="H15" s="33" t="s">
        <v>25</v>
      </c>
      <c r="I15" s="21"/>
      <c r="J15" s="22" t="e">
        <f>G15*I15</f>
        <v>#DIV/0!</v>
      </c>
      <c r="K15" s="60"/>
    </row>
    <row r="16" spans="1:11" ht="17.25" customHeight="1">
      <c r="B16" s="5" t="s">
        <v>13</v>
      </c>
      <c r="C16" s="134" t="s">
        <v>50</v>
      </c>
      <c r="D16" s="121" t="s">
        <v>51</v>
      </c>
      <c r="E16" s="5" t="s">
        <v>4</v>
      </c>
      <c r="F16" s="23" t="e">
        <f>(G8*0.2+G15*17*0.2)/18</f>
        <v>#DIV/0!</v>
      </c>
      <c r="G16" s="131" t="e">
        <f>ROUNDUP(SUM(F16:F18),0)</f>
        <v>#DIV/0!</v>
      </c>
      <c r="H16" s="33" t="s">
        <v>40</v>
      </c>
      <c r="I16" s="125"/>
      <c r="J16" s="125" t="e">
        <f>G16*I16</f>
        <v>#DIV/0!</v>
      </c>
      <c r="K16" s="61"/>
    </row>
    <row r="17" spans="2:11" ht="17.25" customHeight="1">
      <c r="B17" s="5" t="s">
        <v>107</v>
      </c>
      <c r="C17" s="135"/>
      <c r="D17" s="137"/>
      <c r="E17" s="5" t="s">
        <v>4</v>
      </c>
      <c r="F17" s="23" t="e">
        <f>(G6+G8*0.2)*0.8*1.1/18</f>
        <v>#DIV/0!</v>
      </c>
      <c r="G17" s="132"/>
      <c r="H17" s="33" t="s">
        <v>96</v>
      </c>
      <c r="I17" s="126"/>
      <c r="J17" s="126"/>
      <c r="K17" s="61"/>
    </row>
    <row r="18" spans="2:11" ht="17.25" customHeight="1">
      <c r="B18" s="5" t="s">
        <v>102</v>
      </c>
      <c r="C18" s="136"/>
      <c r="D18" s="122"/>
      <c r="E18" s="5" t="s">
        <v>4</v>
      </c>
      <c r="F18" s="23">
        <f>G10*1.2/18</f>
        <v>0</v>
      </c>
      <c r="G18" s="133"/>
      <c r="H18" s="33" t="s">
        <v>99</v>
      </c>
      <c r="I18" s="127"/>
      <c r="J18" s="127"/>
      <c r="K18" s="61"/>
    </row>
    <row r="19" spans="2:11" ht="17.25" customHeight="1">
      <c r="B19" s="38" t="s">
        <v>56</v>
      </c>
      <c r="C19" s="13" t="s">
        <v>70</v>
      </c>
      <c r="D19" s="38" t="s">
        <v>57</v>
      </c>
      <c r="E19" s="6" t="s">
        <v>4</v>
      </c>
      <c r="F19" s="23" t="e">
        <f>SUM(G16)*18/23</f>
        <v>#DIV/0!</v>
      </c>
      <c r="G19" s="96" t="e">
        <f>ROUNDUP(F19,0)</f>
        <v>#DIV/0!</v>
      </c>
      <c r="H19" s="33"/>
      <c r="I19" s="39"/>
      <c r="J19" s="22" t="e">
        <f>G19*I19</f>
        <v>#DIV/0!</v>
      </c>
      <c r="K19" s="61"/>
    </row>
    <row r="20" spans="2:11" ht="17.25" customHeight="1">
      <c r="B20" s="5" t="s">
        <v>100</v>
      </c>
      <c r="C20" s="8" t="s">
        <v>68</v>
      </c>
      <c r="D20" s="5" t="s">
        <v>11</v>
      </c>
      <c r="E20" s="6" t="s">
        <v>7</v>
      </c>
      <c r="F20" s="23" t="e">
        <f>(G6+G8*0.2)/100</f>
        <v>#DIV/0!</v>
      </c>
      <c r="G20" s="97" t="e">
        <f>ROUNDUP(F20,0)</f>
        <v>#DIV/0!</v>
      </c>
      <c r="H20" s="33"/>
      <c r="I20" s="21"/>
      <c r="J20" s="22" t="e">
        <f>G20*I20</f>
        <v>#DIV/0!</v>
      </c>
      <c r="K20" s="61"/>
    </row>
    <row r="21" spans="2:11" ht="17.25" customHeight="1">
      <c r="B21" s="5" t="s">
        <v>104</v>
      </c>
      <c r="C21" s="8" t="s">
        <v>105</v>
      </c>
      <c r="D21" s="5" t="s">
        <v>11</v>
      </c>
      <c r="E21" s="6" t="s">
        <v>106</v>
      </c>
      <c r="F21" s="23" t="e">
        <f>(G8+G15*17)*1.1/100</f>
        <v>#DIV/0!</v>
      </c>
      <c r="G21" s="97" t="e">
        <f>ROUNDUP(F21,0)</f>
        <v>#DIV/0!</v>
      </c>
      <c r="H21" s="33"/>
      <c r="I21" s="24"/>
      <c r="J21" s="22" t="e">
        <f>G21*I21</f>
        <v>#DIV/0!</v>
      </c>
      <c r="K21" s="61"/>
    </row>
    <row r="22" spans="2:11" ht="17.25" customHeight="1">
      <c r="B22" s="5" t="s">
        <v>60</v>
      </c>
      <c r="C22" s="8" t="s">
        <v>42</v>
      </c>
      <c r="D22" s="5" t="s">
        <v>43</v>
      </c>
      <c r="E22" s="5" t="s">
        <v>7</v>
      </c>
      <c r="F22" s="23">
        <f>G5/(1.5*50)</f>
        <v>0</v>
      </c>
      <c r="G22" s="97">
        <f>ROUNDUP(F22,0)</f>
        <v>0</v>
      </c>
      <c r="H22" s="33"/>
      <c r="I22" s="24"/>
      <c r="J22" s="22">
        <f>G22*I22</f>
        <v>0</v>
      </c>
      <c r="K22" s="61"/>
    </row>
    <row r="23" spans="2:11" ht="17.25" customHeight="1" thickBot="1">
      <c r="B23" s="42" t="s">
        <v>61</v>
      </c>
      <c r="C23" s="43" t="s">
        <v>62</v>
      </c>
      <c r="D23" s="42"/>
      <c r="E23" s="42" t="s">
        <v>63</v>
      </c>
      <c r="F23" s="52">
        <f>G6*12</f>
        <v>0</v>
      </c>
      <c r="G23" s="98">
        <f>ROUNDUP(F23,-3)</f>
        <v>0</v>
      </c>
      <c r="H23" s="53" t="s">
        <v>64</v>
      </c>
      <c r="I23" s="24"/>
      <c r="J23" s="22">
        <f>G23*I23</f>
        <v>0</v>
      </c>
      <c r="K23" s="61"/>
    </row>
    <row r="24" spans="2:11" ht="17.25" customHeight="1">
      <c r="H24" s="129" t="s">
        <v>31</v>
      </c>
      <c r="I24" s="130"/>
      <c r="J24" s="22" t="e">
        <f>SUM(J13:J22)</f>
        <v>#DIV/0!</v>
      </c>
    </row>
    <row r="25" spans="2:11" ht="17.25" customHeight="1">
      <c r="H25" s="128" t="s">
        <v>44</v>
      </c>
      <c r="I25" s="128"/>
      <c r="J25" s="25" t="e">
        <f>J24/G10</f>
        <v>#DIV/0!</v>
      </c>
    </row>
    <row r="27" spans="2:11">
      <c r="C27" s="1" t="s">
        <v>20</v>
      </c>
    </row>
  </sheetData>
  <mergeCells count="10">
    <mergeCell ref="I1:K1"/>
    <mergeCell ref="B13:B14"/>
    <mergeCell ref="C13:C14"/>
    <mergeCell ref="J16:J18"/>
    <mergeCell ref="H25:I25"/>
    <mergeCell ref="H24:I24"/>
    <mergeCell ref="G16:G18"/>
    <mergeCell ref="I16:I18"/>
    <mergeCell ref="C16:C18"/>
    <mergeCell ref="D16:D18"/>
  </mergeCells>
  <phoneticPr fontId="2"/>
  <pageMargins left="0.59055118110236227" right="0.59055118110236227" top="0.98425196850393704" bottom="0.59055118110236227" header="0.51181102362204722" footer="0.51181102362204722"/>
  <pageSetup paperSize="8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K31"/>
  <sheetViews>
    <sheetView topLeftCell="B4" workbookViewId="0">
      <selection activeCell="G8" sqref="G8"/>
    </sheetView>
  </sheetViews>
  <sheetFormatPr defaultColWidth="9" defaultRowHeight="13.5"/>
  <cols>
    <col min="1" max="1" width="1.5" style="1" customWidth="1"/>
    <col min="2" max="2" width="19.75" style="1" customWidth="1"/>
    <col min="3" max="3" width="24.5" style="1" customWidth="1"/>
    <col min="4" max="4" width="16.25" style="1" customWidth="1"/>
    <col min="5" max="5" width="3.125" style="2" customWidth="1"/>
    <col min="6" max="6" width="8.5" style="1" bestFit="1" customWidth="1"/>
    <col min="7" max="7" width="13.25" style="1" customWidth="1"/>
    <col min="8" max="8" width="8.5" style="1" bestFit="1" customWidth="1"/>
    <col min="9" max="10" width="13.25" style="1" customWidth="1"/>
    <col min="11" max="11" width="14.875" style="1" customWidth="1"/>
    <col min="12" max="16384" width="9" style="1"/>
  </cols>
  <sheetData>
    <row r="1" spans="1:11" ht="17.25">
      <c r="A1" s="15"/>
      <c r="C1" s="16"/>
      <c r="I1" s="120">
        <v>44137</v>
      </c>
      <c r="J1" s="120"/>
      <c r="K1" s="120"/>
    </row>
    <row r="2" spans="1:11" ht="17.25">
      <c r="A2" s="15"/>
      <c r="E2" s="1"/>
      <c r="J2" s="1" t="s">
        <v>67</v>
      </c>
    </row>
    <row r="3" spans="1:11" ht="18" thickBot="1">
      <c r="A3" s="15"/>
      <c r="B3" s="45" t="s">
        <v>53</v>
      </c>
      <c r="C3" s="9" t="s">
        <v>117</v>
      </c>
      <c r="D3" s="9"/>
      <c r="E3" s="1"/>
      <c r="F3" s="2"/>
      <c r="H3" s="11" t="s">
        <v>125</v>
      </c>
      <c r="I3" s="10"/>
    </row>
    <row r="4" spans="1:11" ht="17.25">
      <c r="A4" s="15"/>
      <c r="B4" s="1" t="s">
        <v>0</v>
      </c>
      <c r="C4" s="12" t="s">
        <v>26</v>
      </c>
      <c r="E4" s="1"/>
      <c r="F4" s="2"/>
      <c r="G4" s="7" t="s">
        <v>16</v>
      </c>
      <c r="H4" s="11"/>
      <c r="I4" s="10"/>
      <c r="J4" s="2"/>
    </row>
    <row r="5" spans="1:11" ht="19.5" customHeight="1">
      <c r="A5" s="15"/>
      <c r="C5" s="58" t="s">
        <v>86</v>
      </c>
      <c r="D5" s="3" t="s">
        <v>45</v>
      </c>
      <c r="E5" s="4" t="s">
        <v>22</v>
      </c>
      <c r="F5" s="6" t="s">
        <v>23</v>
      </c>
      <c r="G5" s="17">
        <v>0</v>
      </c>
      <c r="H5" s="11"/>
      <c r="I5" s="10"/>
    </row>
    <row r="6" spans="1:11" ht="19.5" customHeight="1">
      <c r="A6" s="15"/>
      <c r="C6" s="58" t="s">
        <v>86</v>
      </c>
      <c r="D6" s="3" t="s">
        <v>1</v>
      </c>
      <c r="E6" s="4" t="s">
        <v>24</v>
      </c>
      <c r="F6" s="6" t="s">
        <v>23</v>
      </c>
      <c r="G6" s="17">
        <v>0</v>
      </c>
      <c r="H6" s="11"/>
      <c r="I6" s="10"/>
    </row>
    <row r="7" spans="1:11" ht="19.5" customHeight="1">
      <c r="A7" s="15"/>
      <c r="C7" s="16"/>
      <c r="D7" s="3" t="s">
        <v>8</v>
      </c>
      <c r="E7" s="4"/>
      <c r="F7" s="6" t="s">
        <v>10</v>
      </c>
      <c r="G7" s="18">
        <v>0</v>
      </c>
      <c r="H7" s="11"/>
      <c r="I7" s="10"/>
    </row>
    <row r="8" spans="1:11" ht="19.5" customHeight="1">
      <c r="A8" s="15"/>
      <c r="C8" s="16"/>
      <c r="D8" s="3" t="s">
        <v>9</v>
      </c>
      <c r="E8" s="4"/>
      <c r="F8" s="6" t="s">
        <v>10</v>
      </c>
      <c r="G8" s="18" t="e">
        <f>G6/G7</f>
        <v>#DIV/0!</v>
      </c>
      <c r="H8" s="11"/>
      <c r="I8" s="10"/>
    </row>
    <row r="9" spans="1:11" ht="19.5" customHeight="1">
      <c r="A9" s="15"/>
      <c r="C9" s="16"/>
      <c r="D9" s="3" t="s">
        <v>2</v>
      </c>
      <c r="E9" s="4" t="s">
        <v>27</v>
      </c>
      <c r="F9" s="6" t="s">
        <v>23</v>
      </c>
      <c r="G9" s="17"/>
      <c r="H9" s="11"/>
      <c r="I9" s="10"/>
    </row>
    <row r="10" spans="1:11" ht="19.5" customHeight="1" thickBot="1">
      <c r="A10" s="15"/>
      <c r="C10" s="16"/>
      <c r="D10" s="3" t="s">
        <v>14</v>
      </c>
      <c r="E10" s="4"/>
      <c r="F10" s="6" t="s">
        <v>23</v>
      </c>
      <c r="G10" s="19">
        <f>G5+G6+G9</f>
        <v>0</v>
      </c>
      <c r="H10" s="11"/>
      <c r="I10" s="10"/>
    </row>
    <row r="11" spans="1:11">
      <c r="B11" s="1" t="s">
        <v>15</v>
      </c>
      <c r="C11" s="12" t="s">
        <v>18</v>
      </c>
      <c r="G11" s="7" t="s">
        <v>17</v>
      </c>
    </row>
    <row r="12" spans="1:11" ht="17.25" customHeight="1">
      <c r="B12" s="5" t="s">
        <v>6</v>
      </c>
      <c r="C12" s="5" t="s">
        <v>3</v>
      </c>
      <c r="D12" s="5" t="s">
        <v>12</v>
      </c>
      <c r="E12" s="6"/>
      <c r="F12" s="6"/>
      <c r="G12" s="34" t="s">
        <v>21</v>
      </c>
      <c r="H12" s="33" t="s">
        <v>19</v>
      </c>
      <c r="I12" s="14" t="s">
        <v>29</v>
      </c>
      <c r="J12" s="14" t="s">
        <v>30</v>
      </c>
    </row>
    <row r="13" spans="1:11" ht="17.25" customHeight="1">
      <c r="B13" s="121" t="s">
        <v>41</v>
      </c>
      <c r="C13" s="123" t="s">
        <v>49</v>
      </c>
      <c r="D13" s="26" t="s">
        <v>46</v>
      </c>
      <c r="E13" s="29" t="s">
        <v>4</v>
      </c>
      <c r="F13" s="30"/>
      <c r="G13" s="31" t="s">
        <v>47</v>
      </c>
      <c r="H13" s="32" t="s">
        <v>28</v>
      </c>
      <c r="I13" s="27"/>
      <c r="J13" s="28" t="s">
        <v>48</v>
      </c>
      <c r="K13" s="141" t="s">
        <v>116</v>
      </c>
    </row>
    <row r="14" spans="1:11" ht="17.25" customHeight="1">
      <c r="B14" s="122"/>
      <c r="C14" s="124"/>
      <c r="D14" s="40" t="s">
        <v>58</v>
      </c>
      <c r="E14" s="41" t="s">
        <v>4</v>
      </c>
      <c r="F14" s="51">
        <f>ROUNDUP(G10*0.2/10,0)</f>
        <v>0</v>
      </c>
      <c r="G14" s="49">
        <f>F14</f>
        <v>0</v>
      </c>
      <c r="H14" s="33" t="s">
        <v>28</v>
      </c>
      <c r="I14" s="37"/>
      <c r="J14" s="22">
        <f>G14*I14</f>
        <v>0</v>
      </c>
      <c r="K14" s="141"/>
    </row>
    <row r="15" spans="1:11" ht="17.25" customHeight="1">
      <c r="B15" s="26" t="s">
        <v>66</v>
      </c>
      <c r="C15" s="13" t="s">
        <v>54</v>
      </c>
      <c r="D15" s="5" t="s">
        <v>55</v>
      </c>
      <c r="E15" s="6" t="s">
        <v>7</v>
      </c>
      <c r="F15" s="23" t="e">
        <f>SUM((G5)+(G8*0.2))*1.1/16</f>
        <v>#DIV/0!</v>
      </c>
      <c r="G15" s="95" t="e">
        <f>ROUNDUP(F15,0)</f>
        <v>#DIV/0!</v>
      </c>
      <c r="H15" s="33" t="s">
        <v>25</v>
      </c>
      <c r="I15" s="21"/>
      <c r="J15" s="22" t="e">
        <f>G15*I15</f>
        <v>#DIV/0!</v>
      </c>
      <c r="K15" s="60"/>
    </row>
    <row r="16" spans="1:11" ht="17.25" customHeight="1">
      <c r="B16" s="5" t="s">
        <v>13</v>
      </c>
      <c r="C16" s="134" t="s">
        <v>50</v>
      </c>
      <c r="D16" s="121" t="s">
        <v>51</v>
      </c>
      <c r="E16" s="5" t="s">
        <v>4</v>
      </c>
      <c r="F16" s="23" t="e">
        <f>(G8*0.2+G15*17*0.2)/18</f>
        <v>#DIV/0!</v>
      </c>
      <c r="G16" s="131" t="e">
        <f>ROUNDUP(SUM(F16:F18),0)</f>
        <v>#DIV/0!</v>
      </c>
      <c r="H16" s="33" t="s">
        <v>40</v>
      </c>
      <c r="I16" s="125"/>
      <c r="J16" s="125" t="e">
        <f>G16*I16</f>
        <v>#DIV/0!</v>
      </c>
      <c r="K16" s="139" t="s">
        <v>116</v>
      </c>
    </row>
    <row r="17" spans="2:11" ht="17.25" customHeight="1">
      <c r="B17" s="5" t="s">
        <v>107</v>
      </c>
      <c r="C17" s="135"/>
      <c r="D17" s="137"/>
      <c r="E17" s="5" t="s">
        <v>4</v>
      </c>
      <c r="F17" s="23" t="e">
        <f>(G6+G8*0.2)*0.8*1.1/18</f>
        <v>#DIV/0!</v>
      </c>
      <c r="G17" s="132"/>
      <c r="H17" s="33" t="s">
        <v>96</v>
      </c>
      <c r="I17" s="126"/>
      <c r="J17" s="126"/>
      <c r="K17" s="140"/>
    </row>
    <row r="18" spans="2:11" ht="17.25" customHeight="1">
      <c r="B18" s="5" t="s">
        <v>102</v>
      </c>
      <c r="C18" s="136"/>
      <c r="D18" s="122"/>
      <c r="E18" s="5" t="s">
        <v>4</v>
      </c>
      <c r="F18" s="23">
        <f>G10*1.2/18</f>
        <v>0</v>
      </c>
      <c r="G18" s="133"/>
      <c r="H18" s="33" t="s">
        <v>99</v>
      </c>
      <c r="I18" s="127"/>
      <c r="J18" s="127"/>
      <c r="K18" s="140"/>
    </row>
    <row r="19" spans="2:11" ht="17.25" customHeight="1">
      <c r="B19" s="38" t="s">
        <v>56</v>
      </c>
      <c r="C19" s="13" t="s">
        <v>70</v>
      </c>
      <c r="D19" s="38" t="s">
        <v>57</v>
      </c>
      <c r="E19" s="6" t="s">
        <v>4</v>
      </c>
      <c r="F19" s="23" t="e">
        <f>SUM(G16)*18/23</f>
        <v>#DIV/0!</v>
      </c>
      <c r="G19" s="96" t="e">
        <f>ROUNDUP(F19,0)</f>
        <v>#DIV/0!</v>
      </c>
      <c r="H19" s="33"/>
      <c r="I19" s="39"/>
      <c r="J19" s="22" t="e">
        <f>G19*I19</f>
        <v>#DIV/0!</v>
      </c>
      <c r="K19" s="140"/>
    </row>
    <row r="20" spans="2:11" ht="17.25" customHeight="1">
      <c r="B20" s="5" t="s">
        <v>100</v>
      </c>
      <c r="C20" s="8" t="s">
        <v>68</v>
      </c>
      <c r="D20" s="5" t="s">
        <v>11</v>
      </c>
      <c r="E20" s="6" t="s">
        <v>7</v>
      </c>
      <c r="F20" s="23" t="e">
        <f>(G6+G8*0.2)/100</f>
        <v>#DIV/0!</v>
      </c>
      <c r="G20" s="97" t="e">
        <f>ROUNDUP(F20,0)</f>
        <v>#DIV/0!</v>
      </c>
      <c r="H20" s="33"/>
      <c r="I20" s="21"/>
      <c r="J20" s="22" t="e">
        <f>G20*I20</f>
        <v>#DIV/0!</v>
      </c>
      <c r="K20" s="61"/>
    </row>
    <row r="21" spans="2:11" ht="17.25" customHeight="1">
      <c r="B21" s="5" t="s">
        <v>104</v>
      </c>
      <c r="C21" s="8" t="s">
        <v>105</v>
      </c>
      <c r="D21" s="5" t="s">
        <v>11</v>
      </c>
      <c r="E21" s="6" t="s">
        <v>106</v>
      </c>
      <c r="F21" s="23" t="e">
        <f>(G8+G15*17)*1.1/100</f>
        <v>#DIV/0!</v>
      </c>
      <c r="G21" s="97" t="e">
        <f>ROUNDUP(F21,0)</f>
        <v>#DIV/0!</v>
      </c>
      <c r="H21" s="33"/>
      <c r="I21" s="24"/>
      <c r="J21" s="22" t="e">
        <f>G21*I21</f>
        <v>#DIV/0!</v>
      </c>
      <c r="K21" s="61"/>
    </row>
    <row r="22" spans="2:11" ht="17.25" customHeight="1">
      <c r="B22" s="5" t="s">
        <v>84</v>
      </c>
      <c r="C22" s="8" t="s">
        <v>94</v>
      </c>
      <c r="D22" s="5" t="s">
        <v>76</v>
      </c>
      <c r="E22" s="6" t="s">
        <v>4</v>
      </c>
      <c r="F22" s="23">
        <f>G10*0.5/20</f>
        <v>0</v>
      </c>
      <c r="G22" s="95">
        <f t="shared" ref="G22:G25" si="0">ROUNDUP(F22,0)</f>
        <v>0</v>
      </c>
      <c r="H22" s="33" t="s">
        <v>87</v>
      </c>
      <c r="I22" s="83"/>
      <c r="J22" s="22"/>
      <c r="K22" s="139" t="s">
        <v>116</v>
      </c>
    </row>
    <row r="23" spans="2:11" ht="17.25" customHeight="1">
      <c r="B23" s="5" t="s">
        <v>85</v>
      </c>
      <c r="C23" s="8" t="s">
        <v>95</v>
      </c>
      <c r="D23" s="5" t="s">
        <v>76</v>
      </c>
      <c r="E23" s="6" t="s">
        <v>4</v>
      </c>
      <c r="F23" s="23">
        <f>G10*0.8/20</f>
        <v>0</v>
      </c>
      <c r="G23" s="95">
        <f t="shared" si="0"/>
        <v>0</v>
      </c>
      <c r="H23" s="33" t="s">
        <v>96</v>
      </c>
      <c r="I23" s="83"/>
      <c r="J23" s="22"/>
      <c r="K23" s="140"/>
    </row>
    <row r="24" spans="2:11" ht="17.25" customHeight="1">
      <c r="B24" s="5" t="s">
        <v>74</v>
      </c>
      <c r="C24" s="8" t="s">
        <v>75</v>
      </c>
      <c r="D24" s="5" t="s">
        <v>76</v>
      </c>
      <c r="E24" s="6" t="s">
        <v>4</v>
      </c>
      <c r="F24" s="23">
        <f>G10/20</f>
        <v>0</v>
      </c>
      <c r="G24" s="95">
        <f t="shared" si="0"/>
        <v>0</v>
      </c>
      <c r="H24" s="33" t="s">
        <v>52</v>
      </c>
      <c r="I24" s="83"/>
      <c r="J24" s="22">
        <f>G24*I24</f>
        <v>0</v>
      </c>
      <c r="K24" s="140"/>
    </row>
    <row r="25" spans="2:11" ht="17.25" customHeight="1">
      <c r="B25" s="5" t="s">
        <v>77</v>
      </c>
      <c r="C25" s="8" t="s">
        <v>78</v>
      </c>
      <c r="D25" s="5" t="s">
        <v>83</v>
      </c>
      <c r="E25" s="6" t="s">
        <v>4</v>
      </c>
      <c r="F25" s="84">
        <f>G10*0.5/15</f>
        <v>0</v>
      </c>
      <c r="G25" s="95">
        <f t="shared" si="0"/>
        <v>0</v>
      </c>
      <c r="H25" s="55" t="s">
        <v>87</v>
      </c>
      <c r="I25" s="83"/>
      <c r="J25" s="22">
        <f>G25*I25</f>
        <v>0</v>
      </c>
      <c r="K25" s="140"/>
    </row>
    <row r="26" spans="2:11" ht="17.25" customHeight="1">
      <c r="B26" s="138" t="s">
        <v>118</v>
      </c>
      <c r="C26" s="8" t="s">
        <v>94</v>
      </c>
      <c r="D26" s="5" t="s">
        <v>119</v>
      </c>
      <c r="E26" s="6" t="s">
        <v>4</v>
      </c>
      <c r="F26" s="23">
        <f>G10*0.5/20</f>
        <v>0</v>
      </c>
      <c r="G26" s="95">
        <f t="shared" ref="G26" si="1">ROUNDUP(F26,0)</f>
        <v>0</v>
      </c>
      <c r="H26" s="33" t="s">
        <v>87</v>
      </c>
      <c r="I26" s="83"/>
      <c r="J26" s="22"/>
      <c r="K26" s="139" t="s">
        <v>120</v>
      </c>
    </row>
    <row r="27" spans="2:11" ht="17.25" customHeight="1">
      <c r="B27" s="138"/>
      <c r="C27" s="8" t="s">
        <v>133</v>
      </c>
      <c r="D27" s="5" t="s">
        <v>119</v>
      </c>
      <c r="E27" s="6" t="s">
        <v>4</v>
      </c>
      <c r="F27" s="23">
        <f>G10*0.4/16</f>
        <v>0</v>
      </c>
      <c r="G27" s="95">
        <f t="shared" ref="G27" si="2">ROUNDUP(F27,0)</f>
        <v>0</v>
      </c>
      <c r="H27" s="33" t="s">
        <v>134</v>
      </c>
      <c r="I27" s="83"/>
      <c r="J27" s="22"/>
      <c r="K27" s="140"/>
    </row>
    <row r="28" spans="2:11" ht="17.25" customHeight="1">
      <c r="H28" s="129" t="s">
        <v>31</v>
      </c>
      <c r="I28" s="130"/>
      <c r="J28" s="22" t="e">
        <f>SUM(J13:J24)</f>
        <v>#DIV/0!</v>
      </c>
    </row>
    <row r="29" spans="2:11" ht="17.25" customHeight="1">
      <c r="H29" s="128" t="s">
        <v>44</v>
      </c>
      <c r="I29" s="128"/>
      <c r="J29" s="25" t="e">
        <f>J28/G10</f>
        <v>#DIV/0!</v>
      </c>
    </row>
    <row r="31" spans="2:11">
      <c r="C31" s="1" t="s">
        <v>20</v>
      </c>
    </row>
  </sheetData>
  <mergeCells count="15">
    <mergeCell ref="C16:C18"/>
    <mergeCell ref="D16:D18"/>
    <mergeCell ref="K16:K19"/>
    <mergeCell ref="I1:K1"/>
    <mergeCell ref="B13:B14"/>
    <mergeCell ref="C13:C14"/>
    <mergeCell ref="G16:G18"/>
    <mergeCell ref="I16:I18"/>
    <mergeCell ref="J16:J18"/>
    <mergeCell ref="K13:K14"/>
    <mergeCell ref="B26:B27"/>
    <mergeCell ref="K26:K27"/>
    <mergeCell ref="H28:I28"/>
    <mergeCell ref="H29:I29"/>
    <mergeCell ref="K22:K25"/>
  </mergeCells>
  <phoneticPr fontId="2"/>
  <pageMargins left="0.59055118110236227" right="0.59055118110236227" top="0.98425196850393704" bottom="0.59055118110236227" header="0.51181102362204722" footer="0.51181102362204722"/>
  <pageSetup paperSize="8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L30"/>
  <sheetViews>
    <sheetView workbookViewId="0">
      <selection activeCell="G9" sqref="G9"/>
    </sheetView>
  </sheetViews>
  <sheetFormatPr defaultColWidth="9" defaultRowHeight="13.5"/>
  <cols>
    <col min="1" max="1" width="1.5" style="1" customWidth="1"/>
    <col min="2" max="2" width="19.75" style="1" customWidth="1"/>
    <col min="3" max="3" width="24.5" style="1" customWidth="1"/>
    <col min="4" max="4" width="16.25" style="1" customWidth="1"/>
    <col min="5" max="5" width="3.125" style="2" customWidth="1"/>
    <col min="6" max="6" width="8.5" style="1" bestFit="1" customWidth="1"/>
    <col min="7" max="7" width="13.25" style="1" customWidth="1"/>
    <col min="8" max="8" width="11.5" style="1" customWidth="1"/>
    <col min="9" max="10" width="13.25" style="1" customWidth="1"/>
    <col min="11" max="16384" width="9" style="1"/>
  </cols>
  <sheetData>
    <row r="1" spans="1:11" ht="17.25">
      <c r="A1" s="15"/>
      <c r="C1" s="16"/>
      <c r="I1" s="120">
        <v>44137</v>
      </c>
      <c r="J1" s="120"/>
      <c r="K1" s="120"/>
    </row>
    <row r="2" spans="1:11" ht="17.25">
      <c r="A2" s="15"/>
      <c r="E2" s="1"/>
      <c r="J2" s="1" t="s">
        <v>67</v>
      </c>
    </row>
    <row r="3" spans="1:11" ht="18" thickBot="1">
      <c r="A3" s="15"/>
      <c r="B3" s="45" t="s">
        <v>53</v>
      </c>
      <c r="C3" s="9" t="s">
        <v>126</v>
      </c>
      <c r="D3" s="9"/>
      <c r="E3" s="1"/>
      <c r="F3" s="2"/>
      <c r="H3" s="11"/>
      <c r="I3" s="10"/>
    </row>
    <row r="4" spans="1:11" ht="17.25">
      <c r="A4" s="15"/>
      <c r="C4" s="16"/>
      <c r="E4" s="1"/>
      <c r="F4" s="2"/>
      <c r="G4" s="7" t="s">
        <v>16</v>
      </c>
      <c r="H4" s="11"/>
      <c r="I4" s="10"/>
    </row>
    <row r="5" spans="1:11" ht="19.5" customHeight="1">
      <c r="A5" s="15"/>
      <c r="B5" s="1" t="s">
        <v>0</v>
      </c>
      <c r="C5" s="16"/>
      <c r="D5" s="3" t="s">
        <v>32</v>
      </c>
      <c r="E5" s="4" t="s">
        <v>22</v>
      </c>
      <c r="F5" s="6" t="s">
        <v>23</v>
      </c>
      <c r="G5" s="17">
        <v>0</v>
      </c>
      <c r="H5" s="11"/>
      <c r="I5" s="10"/>
    </row>
    <row r="6" spans="1:11" ht="19.5" customHeight="1">
      <c r="A6" s="15"/>
      <c r="B6" s="12" t="s">
        <v>26</v>
      </c>
      <c r="C6" s="16"/>
      <c r="D6" s="3" t="s">
        <v>33</v>
      </c>
      <c r="E6" s="4"/>
      <c r="F6" s="6" t="s">
        <v>23</v>
      </c>
      <c r="G6" s="17">
        <v>0</v>
      </c>
      <c r="H6" s="11"/>
      <c r="I6" s="10"/>
    </row>
    <row r="7" spans="1:11" ht="19.5" customHeight="1">
      <c r="A7" s="15"/>
      <c r="C7" s="16"/>
      <c r="D7" s="3" t="s">
        <v>1</v>
      </c>
      <c r="E7" s="4" t="s">
        <v>24</v>
      </c>
      <c r="F7" s="6" t="s">
        <v>23</v>
      </c>
      <c r="G7" s="17">
        <v>0</v>
      </c>
      <c r="H7" s="11"/>
      <c r="I7" s="10"/>
    </row>
    <row r="8" spans="1:11" ht="19.5" customHeight="1">
      <c r="A8" s="15"/>
      <c r="C8" s="16"/>
      <c r="D8" s="3" t="s">
        <v>8</v>
      </c>
      <c r="E8" s="4"/>
      <c r="F8" s="6" t="s">
        <v>10</v>
      </c>
      <c r="G8" s="18">
        <v>0</v>
      </c>
      <c r="H8" s="11"/>
      <c r="I8" s="10"/>
    </row>
    <row r="9" spans="1:11" ht="19.5" customHeight="1">
      <c r="A9" s="15"/>
      <c r="C9" s="16"/>
      <c r="D9" s="3" t="s">
        <v>9</v>
      </c>
      <c r="E9" s="4"/>
      <c r="F9" s="6" t="s">
        <v>10</v>
      </c>
      <c r="G9" s="18" t="e">
        <f>G7/G8</f>
        <v>#DIV/0!</v>
      </c>
      <c r="H9" s="11"/>
      <c r="I9" s="10"/>
    </row>
    <row r="10" spans="1:11" ht="19.5" customHeight="1">
      <c r="A10" s="15"/>
      <c r="C10" s="16"/>
      <c r="D10" s="3" t="s">
        <v>2</v>
      </c>
      <c r="E10" s="4" t="s">
        <v>27</v>
      </c>
      <c r="F10" s="6" t="s">
        <v>23</v>
      </c>
      <c r="G10" s="17"/>
      <c r="H10" s="11"/>
      <c r="I10" s="10"/>
    </row>
    <row r="11" spans="1:11" ht="19.5" customHeight="1" thickBot="1">
      <c r="A11" s="15"/>
      <c r="C11" s="16"/>
      <c r="D11" s="3" t="s">
        <v>14</v>
      </c>
      <c r="E11" s="4"/>
      <c r="F11" s="6" t="s">
        <v>23</v>
      </c>
      <c r="G11" s="19">
        <f>G5+G6+G7+G10</f>
        <v>0</v>
      </c>
      <c r="H11" s="11"/>
      <c r="I11" s="10"/>
    </row>
    <row r="12" spans="1:11">
      <c r="B12" s="1" t="s">
        <v>15</v>
      </c>
      <c r="C12" s="12" t="s">
        <v>18</v>
      </c>
      <c r="G12" s="7" t="s">
        <v>17</v>
      </c>
    </row>
    <row r="13" spans="1:11" ht="17.25" customHeight="1">
      <c r="B13" s="5" t="s">
        <v>6</v>
      </c>
      <c r="C13" s="5" t="s">
        <v>3</v>
      </c>
      <c r="D13" s="5" t="s">
        <v>12</v>
      </c>
      <c r="E13" s="6"/>
      <c r="F13" s="6"/>
      <c r="G13" s="34" t="s">
        <v>21</v>
      </c>
      <c r="H13" s="33" t="s">
        <v>19</v>
      </c>
      <c r="I13" s="14" t="s">
        <v>29</v>
      </c>
      <c r="J13" s="14" t="s">
        <v>30</v>
      </c>
    </row>
    <row r="14" spans="1:11" ht="17.25" customHeight="1">
      <c r="B14" s="121" t="s">
        <v>41</v>
      </c>
      <c r="C14" s="123" t="s">
        <v>49</v>
      </c>
      <c r="D14" s="26" t="s">
        <v>46</v>
      </c>
      <c r="E14" s="29" t="s">
        <v>4</v>
      </c>
      <c r="F14" s="30"/>
      <c r="G14" s="31" t="s">
        <v>47</v>
      </c>
      <c r="H14" s="32" t="s">
        <v>28</v>
      </c>
      <c r="I14" s="27"/>
      <c r="J14" s="28" t="s">
        <v>48</v>
      </c>
      <c r="K14" s="20"/>
    </row>
    <row r="15" spans="1:11" ht="17.25" customHeight="1">
      <c r="B15" s="122"/>
      <c r="C15" s="124"/>
      <c r="D15" s="40" t="s">
        <v>58</v>
      </c>
      <c r="E15" s="41" t="s">
        <v>4</v>
      </c>
      <c r="F15" s="51">
        <f>ROUNDUP(G11*0.2/10,0)</f>
        <v>0</v>
      </c>
      <c r="G15" s="49">
        <f>F15</f>
        <v>0</v>
      </c>
      <c r="H15" s="33" t="s">
        <v>28</v>
      </c>
      <c r="I15" s="37"/>
      <c r="J15" s="22">
        <f>G15*I15</f>
        <v>0</v>
      </c>
      <c r="K15" s="60"/>
    </row>
    <row r="16" spans="1:11" ht="17.25" customHeight="1">
      <c r="B16" s="26" t="s">
        <v>66</v>
      </c>
      <c r="C16" s="13" t="s">
        <v>54</v>
      </c>
      <c r="D16" s="5" t="s">
        <v>55</v>
      </c>
      <c r="E16" s="6" t="s">
        <v>7</v>
      </c>
      <c r="F16" s="23" t="e">
        <f>SUM((G5)+(G9*0.2))*1.1/16</f>
        <v>#DIV/0!</v>
      </c>
      <c r="G16" s="35" t="e">
        <f>ROUNDUP(F16,0)</f>
        <v>#DIV/0!</v>
      </c>
      <c r="H16" s="33" t="s">
        <v>25</v>
      </c>
      <c r="I16" s="21"/>
      <c r="J16" s="22" t="e">
        <f>G16*I16</f>
        <v>#DIV/0!</v>
      </c>
      <c r="K16" s="60"/>
    </row>
    <row r="17" spans="2:12" ht="17.25" customHeight="1">
      <c r="B17" s="5" t="s">
        <v>13</v>
      </c>
      <c r="C17" s="134" t="s">
        <v>50</v>
      </c>
      <c r="D17" s="121" t="s">
        <v>51</v>
      </c>
      <c r="E17" s="5" t="s">
        <v>4</v>
      </c>
      <c r="F17" s="23" t="e">
        <f>(G9*0.2+G16*17*0.2)/18</f>
        <v>#DIV/0!</v>
      </c>
      <c r="G17" s="142" t="e">
        <f>ROUNDUP(SUM(F17:F20),0)</f>
        <v>#DIV/0!</v>
      </c>
      <c r="H17" s="33" t="s">
        <v>40</v>
      </c>
      <c r="I17" s="125"/>
      <c r="J17" s="125" t="e">
        <f>G17*I17</f>
        <v>#DIV/0!</v>
      </c>
      <c r="K17" s="61"/>
    </row>
    <row r="18" spans="2:12" ht="17.25" customHeight="1">
      <c r="B18" s="5" t="s">
        <v>107</v>
      </c>
      <c r="C18" s="135"/>
      <c r="D18" s="137"/>
      <c r="E18" s="5" t="s">
        <v>4</v>
      </c>
      <c r="F18" s="23" t="e">
        <f>(G7+G9*0.2)/18</f>
        <v>#DIV/0!</v>
      </c>
      <c r="G18" s="143"/>
      <c r="H18" s="33" t="s">
        <v>96</v>
      </c>
      <c r="I18" s="126"/>
      <c r="J18" s="126"/>
      <c r="K18" s="61"/>
    </row>
    <row r="19" spans="2:12" ht="17.25" customHeight="1">
      <c r="B19" s="5" t="s">
        <v>102</v>
      </c>
      <c r="C19" s="135"/>
      <c r="D19" s="137"/>
      <c r="E19" s="5" t="s">
        <v>4</v>
      </c>
      <c r="F19" s="23">
        <f>G11*1.2/18</f>
        <v>0</v>
      </c>
      <c r="G19" s="143"/>
      <c r="H19" s="33" t="s">
        <v>108</v>
      </c>
      <c r="I19" s="126"/>
      <c r="J19" s="126"/>
      <c r="K19" s="61"/>
    </row>
    <row r="20" spans="2:12" ht="17.25" customHeight="1">
      <c r="B20" s="5" t="s">
        <v>72</v>
      </c>
      <c r="C20" s="136"/>
      <c r="D20" s="122"/>
      <c r="E20" s="6" t="s">
        <v>4</v>
      </c>
      <c r="F20" s="23">
        <f>G5*0.5/18</f>
        <v>0</v>
      </c>
      <c r="G20" s="144"/>
      <c r="H20" s="33" t="s">
        <v>87</v>
      </c>
      <c r="I20" s="127"/>
      <c r="J20" s="127"/>
      <c r="K20" s="61"/>
    </row>
    <row r="21" spans="2:12" ht="17.25" customHeight="1">
      <c r="B21" s="38" t="s">
        <v>56</v>
      </c>
      <c r="C21" s="13" t="s">
        <v>70</v>
      </c>
      <c r="D21" s="48" t="s">
        <v>57</v>
      </c>
      <c r="E21" s="6" t="s">
        <v>4</v>
      </c>
      <c r="F21" s="23" t="e">
        <f>SUM(G17)*18/23</f>
        <v>#DIV/0!</v>
      </c>
      <c r="G21" s="50" t="e">
        <f>ROUNDUP(F21,0)</f>
        <v>#DIV/0!</v>
      </c>
      <c r="H21" s="33"/>
      <c r="I21" s="39"/>
      <c r="J21" s="22" t="e">
        <f>G21*I21</f>
        <v>#DIV/0!</v>
      </c>
      <c r="K21" s="61"/>
    </row>
    <row r="22" spans="2:12" ht="17.25" customHeight="1">
      <c r="B22" s="5" t="s">
        <v>100</v>
      </c>
      <c r="C22" s="8" t="s">
        <v>68</v>
      </c>
      <c r="D22" s="5" t="s">
        <v>11</v>
      </c>
      <c r="E22" s="6" t="s">
        <v>7</v>
      </c>
      <c r="F22" s="23" t="e">
        <f>(G7+G9*0.2)/100</f>
        <v>#DIV/0!</v>
      </c>
      <c r="G22" s="36" t="e">
        <f>ROUNDUP(F22,0)</f>
        <v>#DIV/0!</v>
      </c>
      <c r="H22" s="33"/>
      <c r="I22" s="21"/>
      <c r="J22" s="22" t="e">
        <f>G22*I22</f>
        <v>#DIV/0!</v>
      </c>
      <c r="K22" s="61"/>
    </row>
    <row r="23" spans="2:12" ht="17.25" customHeight="1">
      <c r="B23" s="5" t="s">
        <v>104</v>
      </c>
      <c r="C23" s="8" t="s">
        <v>105</v>
      </c>
      <c r="D23" s="5" t="s">
        <v>11</v>
      </c>
      <c r="E23" s="6" t="s">
        <v>106</v>
      </c>
      <c r="F23" s="23" t="e">
        <f>(G9+G16*17)*1.1/100</f>
        <v>#DIV/0!</v>
      </c>
      <c r="G23" s="36" t="e">
        <f>ROUNDUP(F23,0)</f>
        <v>#DIV/0!</v>
      </c>
      <c r="H23" s="33"/>
      <c r="I23" s="24"/>
      <c r="J23" s="22"/>
      <c r="K23" s="61"/>
    </row>
    <row r="24" spans="2:12" ht="17.25" customHeight="1">
      <c r="B24" s="5" t="s">
        <v>34</v>
      </c>
      <c r="C24" s="13" t="s">
        <v>73</v>
      </c>
      <c r="D24" s="5" t="s">
        <v>71</v>
      </c>
      <c r="E24" s="6" t="s">
        <v>35</v>
      </c>
      <c r="F24" s="23">
        <f>G5/(0.91*1.82)</f>
        <v>0</v>
      </c>
      <c r="G24" s="35">
        <f>ROUNDUP(F24,0)</f>
        <v>0</v>
      </c>
      <c r="H24" s="33"/>
      <c r="I24" s="24"/>
      <c r="J24" s="22">
        <f>G24*I24</f>
        <v>0</v>
      </c>
      <c r="K24" s="61"/>
    </row>
    <row r="25" spans="2:12" ht="17.25" customHeight="1">
      <c r="B25" s="5" t="s">
        <v>60</v>
      </c>
      <c r="C25" s="8" t="s">
        <v>42</v>
      </c>
      <c r="D25" s="5" t="s">
        <v>43</v>
      </c>
      <c r="E25" s="5" t="s">
        <v>7</v>
      </c>
      <c r="F25" s="23">
        <f>G5/(1.5*50)</f>
        <v>0</v>
      </c>
      <c r="G25" s="36">
        <f>ROUNDUP(F25,0)</f>
        <v>0</v>
      </c>
      <c r="H25" s="33"/>
      <c r="I25" s="24"/>
      <c r="J25" s="22">
        <f>G25*I25</f>
        <v>0</v>
      </c>
      <c r="K25" s="61"/>
    </row>
    <row r="26" spans="2:12" ht="17.25" customHeight="1" thickBot="1">
      <c r="B26" s="46" t="s">
        <v>61</v>
      </c>
      <c r="C26" s="43" t="s">
        <v>62</v>
      </c>
      <c r="D26" s="46"/>
      <c r="E26" s="46" t="s">
        <v>63</v>
      </c>
      <c r="F26" s="54">
        <f>G7*12</f>
        <v>0</v>
      </c>
      <c r="G26" s="44">
        <f>ROUNDUP(F26,-3)</f>
        <v>0</v>
      </c>
      <c r="H26" s="55" t="s">
        <v>64</v>
      </c>
      <c r="I26" s="24"/>
      <c r="J26" s="22">
        <f>G26*I26</f>
        <v>0</v>
      </c>
      <c r="K26" s="61"/>
    </row>
    <row r="27" spans="2:12" ht="17.25" customHeight="1">
      <c r="H27" s="129" t="s">
        <v>31</v>
      </c>
      <c r="I27" s="130"/>
      <c r="J27" s="22" t="e">
        <f>SUM(J14:J25)</f>
        <v>#DIV/0!</v>
      </c>
    </row>
    <row r="28" spans="2:12" ht="17.25" customHeight="1">
      <c r="H28" s="128" t="s">
        <v>44</v>
      </c>
      <c r="I28" s="128"/>
      <c r="J28" s="25" t="e">
        <f>J27/G11</f>
        <v>#DIV/0!</v>
      </c>
      <c r="L28" s="47"/>
    </row>
    <row r="30" spans="2:12">
      <c r="C30" s="1" t="s">
        <v>20</v>
      </c>
    </row>
  </sheetData>
  <mergeCells count="10">
    <mergeCell ref="B14:B15"/>
    <mergeCell ref="C14:C15"/>
    <mergeCell ref="C17:C20"/>
    <mergeCell ref="D17:D20"/>
    <mergeCell ref="I1:K1"/>
    <mergeCell ref="J17:J20"/>
    <mergeCell ref="H28:I28"/>
    <mergeCell ref="H27:I27"/>
    <mergeCell ref="G17:G20"/>
    <mergeCell ref="I17:I20"/>
  </mergeCells>
  <phoneticPr fontId="2"/>
  <pageMargins left="0.59055118110236227" right="0.59055118110236227" top="0.98425196850393704" bottom="0.59055118110236227" header="0.51181102362204722" footer="0.51181102362204722"/>
  <pageSetup paperSize="8"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23E3-B122-471D-B125-9BB0265F1A3A}">
  <sheetPr>
    <tabColor rgb="FF92D050"/>
  </sheetPr>
  <dimension ref="A1:R30"/>
  <sheetViews>
    <sheetView zoomScaleNormal="100" workbookViewId="0">
      <selection activeCell="G8" sqref="G8"/>
    </sheetView>
  </sheetViews>
  <sheetFormatPr defaultColWidth="9" defaultRowHeight="13.5"/>
  <cols>
    <col min="1" max="1" width="1.5" style="1" customWidth="1"/>
    <col min="2" max="2" width="19.75" style="1" customWidth="1"/>
    <col min="3" max="3" width="24.5" style="1" customWidth="1"/>
    <col min="4" max="4" width="16.25" style="1" customWidth="1"/>
    <col min="5" max="5" width="3.125" style="2" customWidth="1"/>
    <col min="6" max="6" width="8.5" style="1" bestFit="1" customWidth="1"/>
    <col min="7" max="7" width="13.25" style="1" customWidth="1"/>
    <col min="8" max="8" width="11.5" style="1" customWidth="1"/>
    <col min="9" max="10" width="13.25" style="1" customWidth="1"/>
    <col min="11" max="11" width="15.375" style="1" customWidth="1"/>
    <col min="12" max="16384" width="9" style="1"/>
  </cols>
  <sheetData>
    <row r="1" spans="1:18" ht="17.25">
      <c r="A1" s="15"/>
      <c r="C1" s="16"/>
      <c r="I1" s="120">
        <v>44137</v>
      </c>
      <c r="J1" s="120"/>
      <c r="K1" s="120"/>
    </row>
    <row r="2" spans="1:18" ht="17.25">
      <c r="A2" s="15"/>
      <c r="E2" s="1"/>
      <c r="J2" s="1" t="s">
        <v>67</v>
      </c>
    </row>
    <row r="3" spans="1:18" ht="18" thickBot="1">
      <c r="A3" s="15"/>
      <c r="B3" s="45" t="s">
        <v>53</v>
      </c>
      <c r="C3" s="9" t="s">
        <v>127</v>
      </c>
      <c r="D3" s="9"/>
      <c r="E3" s="1"/>
      <c r="F3" s="2"/>
      <c r="H3" s="11"/>
      <c r="I3" s="10"/>
    </row>
    <row r="4" spans="1:18" ht="17.25">
      <c r="A4" s="15"/>
      <c r="B4" s="1" t="s">
        <v>0</v>
      </c>
      <c r="C4" s="12" t="s">
        <v>26</v>
      </c>
      <c r="E4" s="1"/>
      <c r="F4" s="2"/>
      <c r="G4" s="7" t="s">
        <v>16</v>
      </c>
      <c r="H4" s="11"/>
      <c r="I4" s="10"/>
    </row>
    <row r="5" spans="1:18" ht="19.5" customHeight="1">
      <c r="A5" s="15"/>
      <c r="C5" s="58" t="s">
        <v>86</v>
      </c>
      <c r="D5" s="3" t="s">
        <v>45</v>
      </c>
      <c r="E5" s="4" t="s">
        <v>22</v>
      </c>
      <c r="F5" s="6" t="s">
        <v>23</v>
      </c>
      <c r="G5" s="17">
        <v>0</v>
      </c>
      <c r="H5" s="11"/>
      <c r="I5" s="10"/>
    </row>
    <row r="6" spans="1:18" ht="19.5" customHeight="1">
      <c r="A6" s="15"/>
      <c r="C6" s="58" t="s">
        <v>86</v>
      </c>
      <c r="D6" s="3" t="s">
        <v>1</v>
      </c>
      <c r="E6" s="4" t="s">
        <v>24</v>
      </c>
      <c r="F6" s="6" t="s">
        <v>23</v>
      </c>
      <c r="G6" s="17">
        <v>0</v>
      </c>
      <c r="H6" s="11"/>
      <c r="I6" s="10"/>
    </row>
    <row r="7" spans="1:18" ht="19.5" customHeight="1">
      <c r="A7" s="15"/>
      <c r="C7" s="59"/>
      <c r="D7" s="3" t="s">
        <v>8</v>
      </c>
      <c r="E7" s="4"/>
      <c r="F7" s="6" t="s">
        <v>10</v>
      </c>
      <c r="G7" s="18">
        <v>0</v>
      </c>
      <c r="H7" s="11"/>
      <c r="I7" s="10"/>
    </row>
    <row r="8" spans="1:18" ht="19.5" customHeight="1">
      <c r="A8" s="15"/>
      <c r="C8" s="58" t="s">
        <v>86</v>
      </c>
      <c r="D8" s="3" t="s">
        <v>9</v>
      </c>
      <c r="E8" s="4"/>
      <c r="F8" s="6" t="s">
        <v>10</v>
      </c>
      <c r="G8" s="18" t="e">
        <f>G6/G7</f>
        <v>#DIV/0!</v>
      </c>
      <c r="H8" s="11"/>
      <c r="I8" s="10"/>
    </row>
    <row r="9" spans="1:18" ht="19.5" customHeight="1">
      <c r="A9" s="15"/>
      <c r="C9" s="16"/>
      <c r="D9" s="3" t="s">
        <v>2</v>
      </c>
      <c r="E9" s="4" t="s">
        <v>27</v>
      </c>
      <c r="F9" s="6" t="s">
        <v>23</v>
      </c>
      <c r="G9" s="17"/>
      <c r="H9" s="11"/>
      <c r="I9" s="10"/>
    </row>
    <row r="10" spans="1:18" ht="19.5" customHeight="1" thickBot="1">
      <c r="A10" s="15"/>
      <c r="C10" s="16"/>
      <c r="D10" s="3" t="s">
        <v>14</v>
      </c>
      <c r="E10" s="4"/>
      <c r="F10" s="6" t="s">
        <v>23</v>
      </c>
      <c r="G10" s="19">
        <f>G5+G6+G9</f>
        <v>0</v>
      </c>
      <c r="H10" s="11"/>
      <c r="I10" s="10"/>
    </row>
    <row r="11" spans="1:18">
      <c r="B11" s="1" t="s">
        <v>15</v>
      </c>
      <c r="C11" s="12" t="s">
        <v>18</v>
      </c>
      <c r="G11" s="7" t="s">
        <v>17</v>
      </c>
      <c r="R11" s="10"/>
    </row>
    <row r="12" spans="1:18" ht="17.25" customHeight="1">
      <c r="B12" s="5" t="s">
        <v>6</v>
      </c>
      <c r="C12" s="5" t="s">
        <v>3</v>
      </c>
      <c r="D12" s="5" t="s">
        <v>12</v>
      </c>
      <c r="E12" s="6"/>
      <c r="F12" s="6"/>
      <c r="G12" s="34" t="s">
        <v>21</v>
      </c>
      <c r="H12" s="33" t="s">
        <v>19</v>
      </c>
      <c r="I12" s="14" t="s">
        <v>29</v>
      </c>
      <c r="J12" s="14" t="s">
        <v>30</v>
      </c>
      <c r="K12" s="5" t="s">
        <v>80</v>
      </c>
      <c r="R12" s="62"/>
    </row>
    <row r="13" spans="1:18" ht="17.25" customHeight="1">
      <c r="B13" s="121" t="s">
        <v>41</v>
      </c>
      <c r="C13" s="123" t="s">
        <v>49</v>
      </c>
      <c r="D13" s="26" t="s">
        <v>46</v>
      </c>
      <c r="E13" s="29" t="s">
        <v>4</v>
      </c>
      <c r="F13" s="30"/>
      <c r="G13" s="87" t="s">
        <v>47</v>
      </c>
      <c r="H13" s="32" t="s">
        <v>28</v>
      </c>
      <c r="I13" s="88"/>
      <c r="J13" s="89" t="s">
        <v>48</v>
      </c>
      <c r="K13" s="145" t="s">
        <v>79</v>
      </c>
    </row>
    <row r="14" spans="1:18" ht="17.25" customHeight="1" thickBot="1">
      <c r="B14" s="122"/>
      <c r="C14" s="124"/>
      <c r="D14" s="38" t="s">
        <v>58</v>
      </c>
      <c r="E14" s="67" t="s">
        <v>4</v>
      </c>
      <c r="F14" s="68">
        <f>ROUNDUP(G10*0.2/10,0)</f>
        <v>0</v>
      </c>
      <c r="G14" s="93">
        <f>F14</f>
        <v>0</v>
      </c>
      <c r="H14" s="33" t="s">
        <v>28</v>
      </c>
      <c r="I14" s="69"/>
      <c r="J14" s="70">
        <f t="shared" ref="J14:J19" si="0">G14*I14</f>
        <v>0</v>
      </c>
      <c r="K14" s="146"/>
      <c r="L14" s="71"/>
    </row>
    <row r="15" spans="1:18" ht="17.25" customHeight="1">
      <c r="B15" s="1" t="s">
        <v>88</v>
      </c>
      <c r="C15" s="72"/>
      <c r="D15" s="72"/>
      <c r="E15" s="72"/>
      <c r="F15" s="72"/>
      <c r="G15" s="72"/>
      <c r="H15" s="72"/>
      <c r="I15" s="72"/>
      <c r="J15" s="72"/>
      <c r="K15" s="72"/>
      <c r="L15" s="71"/>
    </row>
    <row r="16" spans="1:18" ht="17.25" customHeight="1" thickBot="1">
      <c r="B16" s="73" t="s">
        <v>128</v>
      </c>
      <c r="C16" s="72"/>
      <c r="D16" s="75"/>
      <c r="E16" s="75"/>
      <c r="F16" s="90"/>
      <c r="G16" s="91"/>
      <c r="H16" s="75"/>
      <c r="I16" s="78"/>
      <c r="J16" s="79"/>
      <c r="K16" s="20"/>
      <c r="L16" s="71"/>
    </row>
    <row r="17" spans="2:18" ht="17.25" customHeight="1">
      <c r="B17" s="121" t="s">
        <v>66</v>
      </c>
      <c r="C17" s="8" t="s">
        <v>54</v>
      </c>
      <c r="D17" s="5" t="s">
        <v>55</v>
      </c>
      <c r="E17" s="5" t="s">
        <v>7</v>
      </c>
      <c r="F17" s="23" t="e">
        <f>($G$8/(15.9*2)+$G$8/(15.9*5))*1.1</f>
        <v>#DIV/0!</v>
      </c>
      <c r="G17" s="107" t="e">
        <f>ROUNDUP(F17,0)</f>
        <v>#DIV/0!</v>
      </c>
      <c r="H17" s="33" t="s">
        <v>25</v>
      </c>
      <c r="I17" s="69"/>
      <c r="J17" s="70" t="e">
        <f t="shared" si="0"/>
        <v>#DIV/0!</v>
      </c>
      <c r="K17" s="92"/>
      <c r="L17" s="71"/>
    </row>
    <row r="18" spans="2:18" ht="17.25" customHeight="1">
      <c r="B18" s="122"/>
      <c r="C18" s="81" t="s">
        <v>59</v>
      </c>
      <c r="D18" s="67" t="s">
        <v>65</v>
      </c>
      <c r="E18" s="67" t="s">
        <v>7</v>
      </c>
      <c r="F18" s="23" t="e">
        <f>($G$5-$G$8*0.5)/(15.9*0.9)*1.1</f>
        <v>#DIV/0!</v>
      </c>
      <c r="G18" s="108" t="e">
        <f>ROUNDUP(F18,0)</f>
        <v>#DIV/0!</v>
      </c>
      <c r="H18" s="56" t="s">
        <v>25</v>
      </c>
      <c r="I18" s="69"/>
      <c r="J18" s="70" t="e">
        <f t="shared" si="0"/>
        <v>#DIV/0!</v>
      </c>
      <c r="K18" s="92"/>
      <c r="L18" s="60"/>
    </row>
    <row r="19" spans="2:18" ht="17.25" customHeight="1">
      <c r="B19" s="5" t="s">
        <v>103</v>
      </c>
      <c r="C19" s="134" t="s">
        <v>50</v>
      </c>
      <c r="D19" s="121" t="s">
        <v>51</v>
      </c>
      <c r="E19" s="5" t="s">
        <v>4</v>
      </c>
      <c r="F19" s="23" t="e">
        <f>((G17*0.4)+F24*100*0.2)*1.1/18</f>
        <v>#DIV/0!</v>
      </c>
      <c r="G19" s="142" t="e">
        <f>ROUNDUP(SUM(F19:F21),0)</f>
        <v>#DIV/0!</v>
      </c>
      <c r="H19" s="33" t="s">
        <v>40</v>
      </c>
      <c r="I19" s="147"/>
      <c r="J19" s="147" t="e">
        <f t="shared" si="0"/>
        <v>#DIV/0!</v>
      </c>
      <c r="K19" s="121" t="s">
        <v>79</v>
      </c>
      <c r="L19" s="61"/>
      <c r="Q19" s="10"/>
    </row>
    <row r="20" spans="2:18" ht="17.25" customHeight="1">
      <c r="B20" s="5" t="s">
        <v>101</v>
      </c>
      <c r="C20" s="135"/>
      <c r="D20" s="137"/>
      <c r="E20" s="5" t="s">
        <v>4</v>
      </c>
      <c r="F20" s="23" t="e">
        <f>(G6+G8*0.2)*1.1*0.8/18</f>
        <v>#DIV/0!</v>
      </c>
      <c r="G20" s="143"/>
      <c r="H20" s="33" t="s">
        <v>96</v>
      </c>
      <c r="I20" s="148"/>
      <c r="J20" s="148"/>
      <c r="K20" s="137"/>
      <c r="L20" s="61"/>
      <c r="Q20" s="10"/>
    </row>
    <row r="21" spans="2:18" ht="17.25" customHeight="1">
      <c r="B21" s="5" t="s">
        <v>102</v>
      </c>
      <c r="C21" s="136"/>
      <c r="D21" s="122"/>
      <c r="E21" s="5" t="s">
        <v>4</v>
      </c>
      <c r="F21" s="23">
        <f>(G10*1.2)*1.1/18</f>
        <v>0</v>
      </c>
      <c r="G21" s="144"/>
      <c r="H21" s="94" t="s">
        <v>99</v>
      </c>
      <c r="I21" s="149"/>
      <c r="J21" s="149"/>
      <c r="K21" s="137"/>
      <c r="L21" s="102"/>
      <c r="R21" s="10"/>
    </row>
    <row r="22" spans="2:18" ht="27" customHeight="1">
      <c r="B22" s="38" t="s">
        <v>56</v>
      </c>
      <c r="C22" s="13" t="s">
        <v>70</v>
      </c>
      <c r="D22" s="48" t="s">
        <v>57</v>
      </c>
      <c r="E22" s="6" t="s">
        <v>4</v>
      </c>
      <c r="F22" s="23" t="e">
        <f>SUM(G19)*18/23</f>
        <v>#DIV/0!</v>
      </c>
      <c r="G22" s="109" t="e">
        <f t="shared" ref="G22" si="1">ROUNDUP(F22,0)</f>
        <v>#DIV/0!</v>
      </c>
      <c r="H22" s="33"/>
      <c r="I22" s="82"/>
      <c r="J22" s="70" t="e">
        <f t="shared" ref="J22:J24" si="2">G22*I22</f>
        <v>#DIV/0!</v>
      </c>
      <c r="K22" s="122"/>
      <c r="L22" s="61"/>
    </row>
    <row r="23" spans="2:18" ht="17.25" customHeight="1">
      <c r="B23" s="5" t="s">
        <v>100</v>
      </c>
      <c r="C23" s="8" t="s">
        <v>68</v>
      </c>
      <c r="D23" s="5" t="s">
        <v>11</v>
      </c>
      <c r="E23" s="6" t="s">
        <v>7</v>
      </c>
      <c r="F23" s="23" t="e">
        <f>(G6+G8*0.2+G17*0.4)*1.1/100</f>
        <v>#DIV/0!</v>
      </c>
      <c r="G23" s="36" t="e">
        <f>ROUNDUP(F23,0)</f>
        <v>#DIV/0!</v>
      </c>
      <c r="H23" s="33" t="s">
        <v>90</v>
      </c>
      <c r="I23" s="69"/>
      <c r="J23" s="70" t="e">
        <f t="shared" si="2"/>
        <v>#DIV/0!</v>
      </c>
      <c r="L23" s="61"/>
    </row>
    <row r="24" spans="2:18" ht="17.25" customHeight="1">
      <c r="B24" s="5" t="s">
        <v>5</v>
      </c>
      <c r="C24" s="8" t="s">
        <v>69</v>
      </c>
      <c r="D24" s="5" t="s">
        <v>11</v>
      </c>
      <c r="E24" s="6" t="s">
        <v>7</v>
      </c>
      <c r="F24" s="23" t="e">
        <f>($G$18*17+G8)*1.1/100</f>
        <v>#DIV/0!</v>
      </c>
      <c r="G24" s="36" t="e">
        <f>ROUNDUP(F24,0)</f>
        <v>#DIV/0!</v>
      </c>
      <c r="H24" s="33" t="s">
        <v>25</v>
      </c>
      <c r="I24" s="69"/>
      <c r="J24" s="70" t="e">
        <f t="shared" si="2"/>
        <v>#DIV/0!</v>
      </c>
      <c r="L24" s="61"/>
    </row>
    <row r="25" spans="2:18" ht="17.25" customHeight="1">
      <c r="B25" s="5" t="s">
        <v>60</v>
      </c>
      <c r="C25" s="8" t="s">
        <v>42</v>
      </c>
      <c r="D25" s="5" t="s">
        <v>43</v>
      </c>
      <c r="E25" s="5" t="s">
        <v>7</v>
      </c>
      <c r="F25" s="23">
        <f>G5/(1.5*50)</f>
        <v>0</v>
      </c>
      <c r="G25" s="36">
        <f>ROUNDUP(F25,0)</f>
        <v>0</v>
      </c>
      <c r="H25" s="33"/>
      <c r="I25" s="24"/>
      <c r="J25" s="22">
        <f>G25*I25</f>
        <v>0</v>
      </c>
      <c r="L25" s="12"/>
    </row>
    <row r="26" spans="2:18" ht="16.5" customHeight="1" thickBot="1">
      <c r="B26" s="42" t="s">
        <v>61</v>
      </c>
      <c r="C26" s="43" t="s">
        <v>62</v>
      </c>
      <c r="D26" s="42"/>
      <c r="E26" s="42" t="s">
        <v>63</v>
      </c>
      <c r="F26" s="52">
        <f>G6*12</f>
        <v>0</v>
      </c>
      <c r="G26" s="110">
        <f>ROUNDUP(F26,-3)</f>
        <v>0</v>
      </c>
      <c r="H26" s="53" t="s">
        <v>64</v>
      </c>
      <c r="I26" s="24"/>
      <c r="J26" s="22">
        <f>G26*I26</f>
        <v>0</v>
      </c>
      <c r="L26" s="12"/>
    </row>
    <row r="27" spans="2:18" ht="17.25" customHeight="1">
      <c r="H27" s="129" t="s">
        <v>31</v>
      </c>
      <c r="I27" s="130"/>
      <c r="J27" s="70" t="e">
        <f>SUM(J13:J26)</f>
        <v>#DIV/0!</v>
      </c>
      <c r="L27" s="12"/>
    </row>
    <row r="28" spans="2:18" ht="17.25" customHeight="1">
      <c r="H28" s="128" t="s">
        <v>44</v>
      </c>
      <c r="I28" s="128"/>
      <c r="J28" s="85" t="e">
        <f>J27/G10</f>
        <v>#DIV/0!</v>
      </c>
      <c r="L28" s="12"/>
    </row>
    <row r="29" spans="2:18">
      <c r="L29" s="12"/>
    </row>
    <row r="30" spans="2:18">
      <c r="B30" s="1" t="s">
        <v>20</v>
      </c>
      <c r="L30" s="86"/>
    </row>
  </sheetData>
  <mergeCells count="13">
    <mergeCell ref="H27:I27"/>
    <mergeCell ref="H28:I28"/>
    <mergeCell ref="I1:K1"/>
    <mergeCell ref="B13:B14"/>
    <mergeCell ref="C13:C14"/>
    <mergeCell ref="K13:K14"/>
    <mergeCell ref="B17:B18"/>
    <mergeCell ref="C19:C21"/>
    <mergeCell ref="D19:D21"/>
    <mergeCell ref="G19:G21"/>
    <mergeCell ref="I19:I21"/>
    <mergeCell ref="J19:J21"/>
    <mergeCell ref="K19:K22"/>
  </mergeCells>
  <phoneticPr fontId="2"/>
  <pageMargins left="0.59055118110236227" right="0.59055118110236227" top="0.98425196850393704" bottom="0.59055118110236227" header="0.51181102362204722" footer="0.51181102362204722"/>
  <pageSetup paperSize="8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ED94-CF0C-4987-852C-8269A1034905}">
  <sheetPr>
    <tabColor rgb="FF92D050"/>
  </sheetPr>
  <dimension ref="A1:R31"/>
  <sheetViews>
    <sheetView zoomScaleNormal="100" workbookViewId="0">
      <selection activeCell="G8" sqref="G8"/>
    </sheetView>
  </sheetViews>
  <sheetFormatPr defaultColWidth="9" defaultRowHeight="13.5"/>
  <cols>
    <col min="1" max="1" width="1.5" style="1" customWidth="1"/>
    <col min="2" max="2" width="19.75" style="1" customWidth="1"/>
    <col min="3" max="3" width="24.5" style="1" customWidth="1"/>
    <col min="4" max="4" width="16.25" style="1" customWidth="1"/>
    <col min="5" max="5" width="3.125" style="2" customWidth="1"/>
    <col min="6" max="6" width="8.5" style="1" bestFit="1" customWidth="1"/>
    <col min="7" max="7" width="13.25" style="1" customWidth="1"/>
    <col min="8" max="8" width="11.5" style="1" customWidth="1"/>
    <col min="9" max="10" width="13.25" style="1" customWidth="1"/>
    <col min="11" max="11" width="15.375" style="1" customWidth="1"/>
    <col min="12" max="16384" width="9" style="1"/>
  </cols>
  <sheetData>
    <row r="1" spans="1:18" ht="17.25">
      <c r="A1" s="15"/>
      <c r="C1" s="16"/>
      <c r="I1" s="120">
        <v>44137</v>
      </c>
      <c r="J1" s="120"/>
      <c r="K1" s="120"/>
    </row>
    <row r="2" spans="1:18" ht="17.25">
      <c r="A2" s="15"/>
      <c r="E2" s="1"/>
      <c r="J2" s="1" t="s">
        <v>67</v>
      </c>
    </row>
    <row r="3" spans="1:18" ht="18" thickBot="1">
      <c r="A3" s="15"/>
      <c r="B3" s="45" t="s">
        <v>53</v>
      </c>
      <c r="C3" s="9" t="s">
        <v>130</v>
      </c>
      <c r="D3" s="9"/>
      <c r="E3" s="1"/>
      <c r="F3" s="2"/>
      <c r="H3" s="11"/>
      <c r="I3" s="10"/>
    </row>
    <row r="4" spans="1:18" ht="17.25">
      <c r="A4" s="15"/>
      <c r="B4" s="1" t="s">
        <v>0</v>
      </c>
      <c r="C4" s="12" t="s">
        <v>26</v>
      </c>
      <c r="E4" s="1"/>
      <c r="F4" s="2"/>
      <c r="G4" s="7" t="s">
        <v>16</v>
      </c>
      <c r="H4" s="11"/>
      <c r="I4" s="10"/>
    </row>
    <row r="5" spans="1:18" ht="19.5" customHeight="1">
      <c r="A5" s="15"/>
      <c r="C5" s="58" t="s">
        <v>86</v>
      </c>
      <c r="D5" s="3" t="s">
        <v>45</v>
      </c>
      <c r="E5" s="4" t="s">
        <v>22</v>
      </c>
      <c r="F5" s="6" t="s">
        <v>23</v>
      </c>
      <c r="G5" s="17">
        <v>0</v>
      </c>
      <c r="H5" s="11"/>
      <c r="I5" s="10"/>
    </row>
    <row r="6" spans="1:18" ht="19.5" customHeight="1">
      <c r="A6" s="15"/>
      <c r="C6" s="58" t="s">
        <v>86</v>
      </c>
      <c r="D6" s="3" t="s">
        <v>1</v>
      </c>
      <c r="E6" s="4" t="s">
        <v>24</v>
      </c>
      <c r="F6" s="6" t="s">
        <v>23</v>
      </c>
      <c r="G6" s="17">
        <v>0</v>
      </c>
      <c r="H6" s="11"/>
      <c r="I6" s="10"/>
    </row>
    <row r="7" spans="1:18" ht="19.5" customHeight="1">
      <c r="A7" s="15"/>
      <c r="C7" s="59"/>
      <c r="D7" s="3" t="s">
        <v>8</v>
      </c>
      <c r="E7" s="4"/>
      <c r="F7" s="6" t="s">
        <v>10</v>
      </c>
      <c r="G7" s="18">
        <v>0</v>
      </c>
      <c r="H7" s="11"/>
      <c r="I7" s="10"/>
    </row>
    <row r="8" spans="1:18" ht="19.5" customHeight="1">
      <c r="A8" s="15"/>
      <c r="C8" s="58" t="s">
        <v>86</v>
      </c>
      <c r="D8" s="3" t="s">
        <v>9</v>
      </c>
      <c r="E8" s="4"/>
      <c r="F8" s="6" t="s">
        <v>10</v>
      </c>
      <c r="G8" s="18" t="e">
        <f>G6/G7</f>
        <v>#DIV/0!</v>
      </c>
      <c r="H8" s="11"/>
      <c r="I8" s="10"/>
    </row>
    <row r="9" spans="1:18" ht="19.5" customHeight="1">
      <c r="A9" s="15"/>
      <c r="C9" s="16"/>
      <c r="D9" s="3" t="s">
        <v>2</v>
      </c>
      <c r="E9" s="4" t="s">
        <v>27</v>
      </c>
      <c r="F9" s="6" t="s">
        <v>23</v>
      </c>
      <c r="G9" s="17"/>
      <c r="H9" s="11"/>
      <c r="I9" s="10"/>
    </row>
    <row r="10" spans="1:18" ht="19.5" customHeight="1" thickBot="1">
      <c r="A10" s="15"/>
      <c r="C10" s="16"/>
      <c r="D10" s="3" t="s">
        <v>14</v>
      </c>
      <c r="E10" s="4"/>
      <c r="F10" s="6" t="s">
        <v>23</v>
      </c>
      <c r="G10" s="19">
        <f>G5+G6+G9</f>
        <v>0</v>
      </c>
      <c r="H10" s="11"/>
      <c r="I10" s="10"/>
    </row>
    <row r="11" spans="1:18">
      <c r="B11" s="1" t="s">
        <v>15</v>
      </c>
      <c r="C11" s="12" t="s">
        <v>18</v>
      </c>
      <c r="G11" s="7" t="s">
        <v>17</v>
      </c>
      <c r="R11" s="10"/>
    </row>
    <row r="12" spans="1:18" ht="17.25" customHeight="1">
      <c r="B12" s="5" t="s">
        <v>6</v>
      </c>
      <c r="C12" s="5" t="s">
        <v>3</v>
      </c>
      <c r="D12" s="5" t="s">
        <v>12</v>
      </c>
      <c r="E12" s="6"/>
      <c r="F12" s="6"/>
      <c r="G12" s="34" t="s">
        <v>21</v>
      </c>
      <c r="H12" s="33" t="s">
        <v>19</v>
      </c>
      <c r="I12" s="14" t="s">
        <v>29</v>
      </c>
      <c r="J12" s="14" t="s">
        <v>30</v>
      </c>
      <c r="K12" s="5" t="s">
        <v>80</v>
      </c>
      <c r="R12" s="62"/>
    </row>
    <row r="13" spans="1:18" ht="17.25" customHeight="1">
      <c r="B13" s="121" t="s">
        <v>41</v>
      </c>
      <c r="C13" s="123" t="s">
        <v>49</v>
      </c>
      <c r="D13" s="26" t="s">
        <v>46</v>
      </c>
      <c r="E13" s="29" t="s">
        <v>4</v>
      </c>
      <c r="F13" s="30"/>
      <c r="G13" s="87" t="s">
        <v>47</v>
      </c>
      <c r="H13" s="32" t="s">
        <v>28</v>
      </c>
      <c r="I13" s="88"/>
      <c r="J13" s="89" t="s">
        <v>48</v>
      </c>
      <c r="K13" s="145" t="s">
        <v>79</v>
      </c>
    </row>
    <row r="14" spans="1:18" ht="17.25" customHeight="1" thickBot="1">
      <c r="B14" s="122"/>
      <c r="C14" s="124"/>
      <c r="D14" s="38" t="s">
        <v>58</v>
      </c>
      <c r="E14" s="67" t="s">
        <v>4</v>
      </c>
      <c r="F14" s="68">
        <f>ROUNDUP(G10*0.2/10,0)</f>
        <v>0</v>
      </c>
      <c r="G14" s="93">
        <f>F14</f>
        <v>0</v>
      </c>
      <c r="H14" s="33" t="s">
        <v>28</v>
      </c>
      <c r="I14" s="69"/>
      <c r="J14" s="70">
        <f t="shared" ref="J14:J19" si="0">G14*I14</f>
        <v>0</v>
      </c>
      <c r="K14" s="146"/>
      <c r="L14" s="71"/>
    </row>
    <row r="15" spans="1:18" ht="17.25" customHeight="1">
      <c r="B15" s="1" t="s">
        <v>88</v>
      </c>
      <c r="C15" s="72"/>
      <c r="D15" s="72"/>
      <c r="E15" s="72"/>
      <c r="F15" s="72"/>
      <c r="G15" s="72"/>
      <c r="H15" s="72"/>
      <c r="I15" s="72"/>
      <c r="J15" s="72"/>
      <c r="K15" s="72"/>
      <c r="L15" s="71"/>
    </row>
    <row r="16" spans="1:18" ht="17.25" customHeight="1" thickBot="1">
      <c r="B16" s="73" t="s">
        <v>128</v>
      </c>
      <c r="C16" s="72"/>
      <c r="D16" s="75"/>
      <c r="E16" s="75"/>
      <c r="F16" s="90"/>
      <c r="G16" s="91"/>
      <c r="H16" s="75"/>
      <c r="I16" s="78"/>
      <c r="J16" s="79"/>
      <c r="K16" s="20"/>
      <c r="L16" s="71"/>
    </row>
    <row r="17" spans="2:18" ht="17.25" customHeight="1">
      <c r="B17" s="121" t="s">
        <v>66</v>
      </c>
      <c r="C17" s="8" t="s">
        <v>54</v>
      </c>
      <c r="D17" s="5" t="s">
        <v>55</v>
      </c>
      <c r="E17" s="5" t="s">
        <v>7</v>
      </c>
      <c r="F17" s="23" t="e">
        <f>($G$8/(15.9*2)+$G$8/(15.9*5))*1.1</f>
        <v>#DIV/0!</v>
      </c>
      <c r="G17" s="107" t="e">
        <f>ROUNDUP(F17,0)</f>
        <v>#DIV/0!</v>
      </c>
      <c r="H17" s="33" t="s">
        <v>25</v>
      </c>
      <c r="I17" s="69"/>
      <c r="J17" s="70" t="e">
        <f t="shared" si="0"/>
        <v>#DIV/0!</v>
      </c>
      <c r="K17" s="92"/>
      <c r="L17" s="71"/>
    </row>
    <row r="18" spans="2:18" ht="17.25" customHeight="1">
      <c r="B18" s="122"/>
      <c r="C18" s="81" t="s">
        <v>59</v>
      </c>
      <c r="D18" s="67" t="s">
        <v>65</v>
      </c>
      <c r="E18" s="67" t="s">
        <v>7</v>
      </c>
      <c r="F18" s="23" t="e">
        <f>($G$5-$G$8*0.5)/(15.9*0.9)*1.1</f>
        <v>#DIV/0!</v>
      </c>
      <c r="G18" s="108" t="e">
        <f>ROUNDUP(F18,0)</f>
        <v>#DIV/0!</v>
      </c>
      <c r="H18" s="56" t="s">
        <v>25</v>
      </c>
      <c r="I18" s="69"/>
      <c r="J18" s="70" t="e">
        <f t="shared" si="0"/>
        <v>#DIV/0!</v>
      </c>
      <c r="K18" s="92"/>
      <c r="L18" s="60"/>
    </row>
    <row r="19" spans="2:18" ht="17.25" customHeight="1">
      <c r="B19" s="5" t="s">
        <v>103</v>
      </c>
      <c r="C19" s="134" t="s">
        <v>50</v>
      </c>
      <c r="D19" s="121" t="s">
        <v>51</v>
      </c>
      <c r="E19" s="5" t="s">
        <v>4</v>
      </c>
      <c r="F19" s="23" t="e">
        <f>((G17*0.4)+F24*100*0.2)*1.1/18</f>
        <v>#DIV/0!</v>
      </c>
      <c r="G19" s="142" t="e">
        <f>ROUNDUP(SUM(F19:F21),0)</f>
        <v>#DIV/0!</v>
      </c>
      <c r="H19" s="33" t="s">
        <v>40</v>
      </c>
      <c r="I19" s="147"/>
      <c r="J19" s="147" t="e">
        <f t="shared" si="0"/>
        <v>#DIV/0!</v>
      </c>
      <c r="K19" s="121" t="s">
        <v>79</v>
      </c>
      <c r="L19" s="61"/>
      <c r="Q19" s="10"/>
    </row>
    <row r="20" spans="2:18" ht="17.25" customHeight="1">
      <c r="B20" s="5" t="s">
        <v>101</v>
      </c>
      <c r="C20" s="135"/>
      <c r="D20" s="137"/>
      <c r="E20" s="5" t="s">
        <v>4</v>
      </c>
      <c r="F20" s="23" t="e">
        <f>(G6+G8*0.2)*1.1*0.8/18</f>
        <v>#DIV/0!</v>
      </c>
      <c r="G20" s="143"/>
      <c r="H20" s="33" t="s">
        <v>96</v>
      </c>
      <c r="I20" s="148"/>
      <c r="J20" s="148"/>
      <c r="K20" s="137"/>
      <c r="L20" s="61"/>
      <c r="Q20" s="10"/>
    </row>
    <row r="21" spans="2:18" ht="17.25" customHeight="1">
      <c r="B21" s="5" t="s">
        <v>102</v>
      </c>
      <c r="C21" s="136"/>
      <c r="D21" s="122"/>
      <c r="E21" s="5" t="s">
        <v>4</v>
      </c>
      <c r="F21" s="23">
        <f>(G10*1.2)*1.1/18</f>
        <v>0</v>
      </c>
      <c r="G21" s="144"/>
      <c r="H21" s="94" t="s">
        <v>99</v>
      </c>
      <c r="I21" s="149"/>
      <c r="J21" s="149"/>
      <c r="K21" s="137"/>
      <c r="L21" s="102"/>
      <c r="R21" s="10"/>
    </row>
    <row r="22" spans="2:18" ht="27" customHeight="1">
      <c r="B22" s="38" t="s">
        <v>56</v>
      </c>
      <c r="C22" s="13" t="s">
        <v>70</v>
      </c>
      <c r="D22" s="48" t="s">
        <v>57</v>
      </c>
      <c r="E22" s="6" t="s">
        <v>4</v>
      </c>
      <c r="F22" s="23" t="e">
        <f>SUM(G19)*18/23</f>
        <v>#DIV/0!</v>
      </c>
      <c r="G22" s="109" t="e">
        <f t="shared" ref="G22" si="1">ROUNDUP(F22,0)</f>
        <v>#DIV/0!</v>
      </c>
      <c r="H22" s="33"/>
      <c r="I22" s="82"/>
      <c r="J22" s="70" t="e">
        <f t="shared" ref="J22:J25" si="2">G22*I22</f>
        <v>#DIV/0!</v>
      </c>
      <c r="K22" s="122"/>
      <c r="L22" s="61"/>
    </row>
    <row r="23" spans="2:18" ht="17.25" customHeight="1">
      <c r="B23" s="5" t="s">
        <v>100</v>
      </c>
      <c r="C23" s="8" t="s">
        <v>68</v>
      </c>
      <c r="D23" s="5" t="s">
        <v>11</v>
      </c>
      <c r="E23" s="6" t="s">
        <v>7</v>
      </c>
      <c r="F23" s="23" t="e">
        <f>(G6+G8*0.2+G17*0.4)*1.1/100</f>
        <v>#DIV/0!</v>
      </c>
      <c r="G23" s="36" t="e">
        <f>ROUNDUP(F23,0)</f>
        <v>#DIV/0!</v>
      </c>
      <c r="H23" s="33" t="s">
        <v>90</v>
      </c>
      <c r="I23" s="69"/>
      <c r="J23" s="70" t="e">
        <f t="shared" si="2"/>
        <v>#DIV/0!</v>
      </c>
      <c r="L23" s="61"/>
    </row>
    <row r="24" spans="2:18" ht="17.25" customHeight="1">
      <c r="B24" s="5" t="s">
        <v>5</v>
      </c>
      <c r="C24" s="8" t="s">
        <v>69</v>
      </c>
      <c r="D24" s="5" t="s">
        <v>11</v>
      </c>
      <c r="E24" s="6" t="s">
        <v>7</v>
      </c>
      <c r="F24" s="23" t="e">
        <f>($G$18*17+G8)*1.1/100</f>
        <v>#DIV/0!</v>
      </c>
      <c r="G24" s="36" t="e">
        <f>ROUNDUP(F24,0)</f>
        <v>#DIV/0!</v>
      </c>
      <c r="H24" s="33" t="s">
        <v>25</v>
      </c>
      <c r="I24" s="69"/>
      <c r="J24" s="70" t="e">
        <f t="shared" si="2"/>
        <v>#DIV/0!</v>
      </c>
      <c r="L24" s="61"/>
    </row>
    <row r="25" spans="2:18" ht="17.25" customHeight="1">
      <c r="B25" s="111" t="s">
        <v>34</v>
      </c>
      <c r="C25" s="112" t="s">
        <v>73</v>
      </c>
      <c r="D25" s="111" t="s">
        <v>71</v>
      </c>
      <c r="E25" s="113" t="s">
        <v>35</v>
      </c>
      <c r="F25" s="114">
        <f>G5/(0.91*1.82)</f>
        <v>0</v>
      </c>
      <c r="G25" s="115">
        <f>ROUNDUP(F25,0)</f>
        <v>0</v>
      </c>
      <c r="H25" s="116"/>
      <c r="I25" s="83"/>
      <c r="J25" s="70">
        <f t="shared" si="2"/>
        <v>0</v>
      </c>
      <c r="L25" s="61"/>
    </row>
    <row r="26" spans="2:18" ht="17.25" customHeight="1">
      <c r="B26" s="5" t="s">
        <v>60</v>
      </c>
      <c r="C26" s="8" t="s">
        <v>42</v>
      </c>
      <c r="D26" s="5" t="s">
        <v>43</v>
      </c>
      <c r="E26" s="5" t="s">
        <v>7</v>
      </c>
      <c r="F26" s="23">
        <f>G5/(1.5*50)</f>
        <v>0</v>
      </c>
      <c r="G26" s="36">
        <f>ROUNDUP(F26,0)</f>
        <v>0</v>
      </c>
      <c r="H26" s="33"/>
      <c r="I26" s="24"/>
      <c r="J26" s="22">
        <f>G26*I26</f>
        <v>0</v>
      </c>
      <c r="L26" s="12"/>
    </row>
    <row r="27" spans="2:18" ht="16.5" customHeight="1" thickBot="1">
      <c r="B27" s="42" t="s">
        <v>61</v>
      </c>
      <c r="C27" s="43" t="s">
        <v>62</v>
      </c>
      <c r="D27" s="42"/>
      <c r="E27" s="42" t="s">
        <v>63</v>
      </c>
      <c r="F27" s="52">
        <f>G6*12</f>
        <v>0</v>
      </c>
      <c r="G27" s="110">
        <f>ROUNDUP(F27,-3)</f>
        <v>0</v>
      </c>
      <c r="H27" s="53" t="s">
        <v>64</v>
      </c>
      <c r="I27" s="24"/>
      <c r="J27" s="22">
        <f>G27*I27</f>
        <v>0</v>
      </c>
      <c r="L27" s="12"/>
    </row>
    <row r="28" spans="2:18" ht="17.25" customHeight="1">
      <c r="H28" s="129" t="s">
        <v>31</v>
      </c>
      <c r="I28" s="130"/>
      <c r="J28" s="70" t="e">
        <f>SUM(J13:J27)</f>
        <v>#DIV/0!</v>
      </c>
      <c r="L28" s="12"/>
    </row>
    <row r="29" spans="2:18" ht="17.25" customHeight="1">
      <c r="H29" s="128" t="s">
        <v>44</v>
      </c>
      <c r="I29" s="128"/>
      <c r="J29" s="85" t="e">
        <f>J28/G10</f>
        <v>#DIV/0!</v>
      </c>
      <c r="L29" s="12"/>
    </row>
    <row r="30" spans="2:18">
      <c r="L30" s="12"/>
    </row>
    <row r="31" spans="2:18">
      <c r="B31" s="1" t="s">
        <v>20</v>
      </c>
      <c r="L31" s="86"/>
    </row>
  </sheetData>
  <mergeCells count="13">
    <mergeCell ref="K19:K22"/>
    <mergeCell ref="H28:I28"/>
    <mergeCell ref="H29:I29"/>
    <mergeCell ref="I1:K1"/>
    <mergeCell ref="B13:B14"/>
    <mergeCell ref="C13:C14"/>
    <mergeCell ref="K13:K14"/>
    <mergeCell ref="B17:B18"/>
    <mergeCell ref="C19:C21"/>
    <mergeCell ref="D19:D21"/>
    <mergeCell ref="G19:G21"/>
    <mergeCell ref="I19:I21"/>
    <mergeCell ref="J19:J21"/>
  </mergeCells>
  <phoneticPr fontId="2"/>
  <pageMargins left="0.59055118110236227" right="0.59055118110236227" top="0.98425196850393704" bottom="0.59055118110236227" header="0.51181102362204722" footer="0.51181102362204722"/>
  <pageSetup paperSize="8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R38"/>
  <sheetViews>
    <sheetView workbookViewId="0">
      <selection activeCell="G8" sqref="G8"/>
    </sheetView>
  </sheetViews>
  <sheetFormatPr defaultColWidth="9" defaultRowHeight="13.5"/>
  <cols>
    <col min="1" max="1" width="1.5" style="1" customWidth="1"/>
    <col min="2" max="2" width="19.75" style="1" customWidth="1"/>
    <col min="3" max="3" width="24.5" style="1" customWidth="1"/>
    <col min="4" max="4" width="16.25" style="1" customWidth="1"/>
    <col min="5" max="5" width="3.125" style="2" customWidth="1"/>
    <col min="6" max="6" width="8.5" style="1" bestFit="1" customWidth="1"/>
    <col min="7" max="7" width="13.25" style="1" customWidth="1"/>
    <col min="8" max="8" width="11.5" style="1" customWidth="1"/>
    <col min="9" max="10" width="13.25" style="1" customWidth="1"/>
    <col min="11" max="11" width="15.375" style="1" customWidth="1"/>
    <col min="12" max="16384" width="9" style="1"/>
  </cols>
  <sheetData>
    <row r="1" spans="1:18" ht="17.25">
      <c r="A1" s="15"/>
      <c r="C1" s="16"/>
      <c r="I1" s="120">
        <v>44137</v>
      </c>
      <c r="J1" s="120"/>
      <c r="K1" s="120"/>
    </row>
    <row r="2" spans="1:18" ht="17.25">
      <c r="A2" s="15"/>
      <c r="E2" s="1"/>
      <c r="J2" s="1" t="s">
        <v>67</v>
      </c>
    </row>
    <row r="3" spans="1:18" ht="18" thickBot="1">
      <c r="A3" s="15"/>
      <c r="B3" s="45" t="s">
        <v>53</v>
      </c>
      <c r="C3" s="9" t="s">
        <v>115</v>
      </c>
      <c r="D3" s="9"/>
      <c r="E3" s="1"/>
      <c r="F3" s="2"/>
      <c r="H3" s="11"/>
      <c r="I3" s="10"/>
    </row>
    <row r="4" spans="1:18" ht="17.25">
      <c r="A4" s="15"/>
      <c r="B4" s="1" t="s">
        <v>0</v>
      </c>
      <c r="C4" s="12" t="s">
        <v>26</v>
      </c>
      <c r="E4" s="1"/>
      <c r="F4" s="2"/>
      <c r="G4" s="7" t="s">
        <v>16</v>
      </c>
      <c r="H4" s="11"/>
      <c r="I4" s="10"/>
    </row>
    <row r="5" spans="1:18" ht="19.5" customHeight="1">
      <c r="A5" s="15"/>
      <c r="C5" s="58" t="s">
        <v>86</v>
      </c>
      <c r="D5" s="3" t="s">
        <v>45</v>
      </c>
      <c r="E5" s="4" t="s">
        <v>22</v>
      </c>
      <c r="F5" s="6" t="s">
        <v>23</v>
      </c>
      <c r="G5" s="17">
        <v>0</v>
      </c>
      <c r="H5" s="11"/>
      <c r="I5" s="10"/>
    </row>
    <row r="6" spans="1:18" ht="19.5" customHeight="1">
      <c r="A6" s="15"/>
      <c r="C6" s="58" t="s">
        <v>86</v>
      </c>
      <c r="D6" s="3" t="s">
        <v>1</v>
      </c>
      <c r="E6" s="4" t="s">
        <v>24</v>
      </c>
      <c r="F6" s="6" t="s">
        <v>23</v>
      </c>
      <c r="G6" s="17">
        <v>0</v>
      </c>
      <c r="H6" s="11"/>
      <c r="I6" s="10"/>
    </row>
    <row r="7" spans="1:18" ht="19.5" customHeight="1">
      <c r="A7" s="15"/>
      <c r="C7" s="59"/>
      <c r="D7" s="3" t="s">
        <v>8</v>
      </c>
      <c r="E7" s="4"/>
      <c r="F7" s="6" t="s">
        <v>10</v>
      </c>
      <c r="G7" s="18">
        <v>0</v>
      </c>
      <c r="H7" s="11"/>
      <c r="I7" s="10"/>
    </row>
    <row r="8" spans="1:18" ht="19.5" customHeight="1">
      <c r="A8" s="15"/>
      <c r="C8" s="58" t="s">
        <v>86</v>
      </c>
      <c r="D8" s="3" t="s">
        <v>9</v>
      </c>
      <c r="E8" s="4"/>
      <c r="F8" s="6" t="s">
        <v>10</v>
      </c>
      <c r="G8" s="18" t="e">
        <f>G6/G7</f>
        <v>#DIV/0!</v>
      </c>
      <c r="H8" s="11"/>
      <c r="I8" s="10"/>
    </row>
    <row r="9" spans="1:18" ht="19.5" customHeight="1">
      <c r="A9" s="15"/>
      <c r="C9" s="16"/>
      <c r="D9" s="3" t="s">
        <v>2</v>
      </c>
      <c r="E9" s="4" t="s">
        <v>27</v>
      </c>
      <c r="F9" s="6" t="s">
        <v>23</v>
      </c>
      <c r="G9" s="17"/>
      <c r="H9" s="11"/>
      <c r="I9" s="10"/>
    </row>
    <row r="10" spans="1:18" ht="19.5" customHeight="1" thickBot="1">
      <c r="A10" s="15"/>
      <c r="C10" s="16"/>
      <c r="D10" s="3" t="s">
        <v>14</v>
      </c>
      <c r="E10" s="4"/>
      <c r="F10" s="6" t="s">
        <v>23</v>
      </c>
      <c r="G10" s="19">
        <f>G5+G6+G9</f>
        <v>0</v>
      </c>
      <c r="H10" s="11"/>
      <c r="I10" s="10"/>
    </row>
    <row r="11" spans="1:18">
      <c r="B11" s="1" t="s">
        <v>15</v>
      </c>
      <c r="C11" s="12" t="s">
        <v>18</v>
      </c>
      <c r="G11" s="7" t="s">
        <v>17</v>
      </c>
      <c r="R11" s="10"/>
    </row>
    <row r="12" spans="1:18" ht="17.25" customHeight="1">
      <c r="B12" s="5" t="s">
        <v>6</v>
      </c>
      <c r="C12" s="5" t="s">
        <v>3</v>
      </c>
      <c r="D12" s="5" t="s">
        <v>12</v>
      </c>
      <c r="E12" s="6"/>
      <c r="F12" s="6"/>
      <c r="G12" s="34" t="s">
        <v>21</v>
      </c>
      <c r="H12" s="33" t="s">
        <v>19</v>
      </c>
      <c r="I12" s="14" t="s">
        <v>29</v>
      </c>
      <c r="J12" s="14" t="s">
        <v>30</v>
      </c>
      <c r="K12" s="5" t="s">
        <v>80</v>
      </c>
      <c r="R12" s="62"/>
    </row>
    <row r="13" spans="1:18" ht="17.25" customHeight="1">
      <c r="B13" s="121" t="s">
        <v>41</v>
      </c>
      <c r="C13" s="150" t="s">
        <v>49</v>
      </c>
      <c r="D13" s="5" t="s">
        <v>46</v>
      </c>
      <c r="E13" s="5" t="s">
        <v>4</v>
      </c>
      <c r="F13" s="63"/>
      <c r="G13" s="64" t="s">
        <v>47</v>
      </c>
      <c r="H13" s="33" t="s">
        <v>28</v>
      </c>
      <c r="I13" s="65"/>
      <c r="J13" s="66" t="s">
        <v>48</v>
      </c>
      <c r="K13" s="145" t="s">
        <v>79</v>
      </c>
    </row>
    <row r="14" spans="1:18" ht="17.25" customHeight="1" thickBot="1">
      <c r="B14" s="122"/>
      <c r="C14" s="150"/>
      <c r="D14" s="38" t="s">
        <v>58</v>
      </c>
      <c r="E14" s="67" t="s">
        <v>4</v>
      </c>
      <c r="F14" s="68">
        <f>ROUNDUP(G10*0.2/10,0)</f>
        <v>0</v>
      </c>
      <c r="G14" s="93">
        <f>F14</f>
        <v>0</v>
      </c>
      <c r="H14" s="33" t="s">
        <v>28</v>
      </c>
      <c r="I14" s="69"/>
      <c r="J14" s="70">
        <f t="shared" ref="J14:J19" si="0">G14*I14</f>
        <v>0</v>
      </c>
      <c r="K14" s="146"/>
      <c r="L14" s="71"/>
    </row>
    <row r="15" spans="1:18" ht="17.25" customHeight="1">
      <c r="B15" s="1" t="s">
        <v>88</v>
      </c>
      <c r="C15" s="72"/>
      <c r="D15" s="72"/>
      <c r="E15" s="72"/>
      <c r="F15" s="72"/>
      <c r="G15" s="72"/>
      <c r="H15" s="72"/>
      <c r="I15" s="72"/>
      <c r="J15" s="72"/>
      <c r="K15" s="72"/>
      <c r="L15" s="71"/>
    </row>
    <row r="16" spans="1:18" ht="17.25" customHeight="1" thickBot="1">
      <c r="B16" s="73" t="s">
        <v>89</v>
      </c>
      <c r="C16" s="72"/>
      <c r="D16" s="74"/>
      <c r="E16" s="75"/>
      <c r="F16" s="76"/>
      <c r="G16" s="77"/>
      <c r="H16" s="2"/>
      <c r="I16" s="78"/>
      <c r="J16" s="79"/>
      <c r="K16" s="80"/>
      <c r="L16" s="71"/>
    </row>
    <row r="17" spans="2:18" ht="17.25" customHeight="1">
      <c r="B17" s="121" t="s">
        <v>66</v>
      </c>
      <c r="C17" s="8" t="s">
        <v>54</v>
      </c>
      <c r="D17" s="5" t="s">
        <v>55</v>
      </c>
      <c r="E17" s="5" t="s">
        <v>7</v>
      </c>
      <c r="F17" s="23" t="e">
        <f>($G$8/(15.9*1)+$G$8/(15.9*5))*1.1</f>
        <v>#DIV/0!</v>
      </c>
      <c r="G17" s="99" t="e">
        <f>ROUNDUP(F17,1)</f>
        <v>#DIV/0!</v>
      </c>
      <c r="H17" s="33" t="s">
        <v>25</v>
      </c>
      <c r="I17" s="69"/>
      <c r="J17" s="70" t="e">
        <f t="shared" si="0"/>
        <v>#DIV/0!</v>
      </c>
      <c r="K17" s="20"/>
      <c r="L17" s="71"/>
    </row>
    <row r="18" spans="2:18" ht="17.25" customHeight="1">
      <c r="B18" s="122"/>
      <c r="C18" s="81" t="s">
        <v>59</v>
      </c>
      <c r="D18" s="67" t="s">
        <v>65</v>
      </c>
      <c r="E18" s="67" t="s">
        <v>7</v>
      </c>
      <c r="F18" s="23" t="e">
        <f>($G$5-$G$8*0.5)/(15.9*0.9)*1.1</f>
        <v>#DIV/0!</v>
      </c>
      <c r="G18" s="97" t="e">
        <f>ROUNDUP(F18,1)</f>
        <v>#DIV/0!</v>
      </c>
      <c r="H18" s="56" t="s">
        <v>25</v>
      </c>
      <c r="I18" s="69"/>
      <c r="J18" s="70" t="e">
        <f t="shared" si="0"/>
        <v>#DIV/0!</v>
      </c>
      <c r="K18" s="20"/>
      <c r="L18" s="60"/>
    </row>
    <row r="19" spans="2:18" ht="17.25" customHeight="1">
      <c r="B19" s="5" t="s">
        <v>103</v>
      </c>
      <c r="C19" s="151" t="s">
        <v>50</v>
      </c>
      <c r="D19" s="138" t="s">
        <v>51</v>
      </c>
      <c r="E19" s="5" t="s">
        <v>4</v>
      </c>
      <c r="F19" s="23" t="e">
        <f>((G17*0.4)+F24*100*0.2)*1.1/18</f>
        <v>#DIV/0!</v>
      </c>
      <c r="G19" s="131" t="e">
        <f>ROUNDUP(SUM(F19:F21),1)</f>
        <v>#DIV/0!</v>
      </c>
      <c r="H19" s="33" t="s">
        <v>40</v>
      </c>
      <c r="I19" s="147"/>
      <c r="J19" s="147" t="e">
        <f t="shared" si="0"/>
        <v>#DIV/0!</v>
      </c>
      <c r="K19" s="121" t="s">
        <v>79</v>
      </c>
      <c r="L19" s="61"/>
      <c r="R19" s="10"/>
    </row>
    <row r="20" spans="2:18" ht="17.25" customHeight="1">
      <c r="B20" s="5" t="s">
        <v>101</v>
      </c>
      <c r="C20" s="151"/>
      <c r="D20" s="138"/>
      <c r="E20" s="5" t="s">
        <v>4</v>
      </c>
      <c r="F20" s="23" t="e">
        <f>(G6+G8*0.2)*1.1*0.8/18</f>
        <v>#DIV/0!</v>
      </c>
      <c r="G20" s="132"/>
      <c r="H20" s="33" t="s">
        <v>96</v>
      </c>
      <c r="I20" s="148"/>
      <c r="J20" s="148"/>
      <c r="K20" s="137"/>
      <c r="L20" s="61"/>
      <c r="R20" s="10"/>
    </row>
    <row r="21" spans="2:18" ht="17.25" customHeight="1">
      <c r="B21" s="5" t="s">
        <v>102</v>
      </c>
      <c r="C21" s="151"/>
      <c r="D21" s="138"/>
      <c r="E21" s="5" t="s">
        <v>4</v>
      </c>
      <c r="F21" s="23">
        <f>(G10*1.2)*1.1/18</f>
        <v>0</v>
      </c>
      <c r="G21" s="132"/>
      <c r="H21" s="94" t="s">
        <v>99</v>
      </c>
      <c r="I21" s="148"/>
      <c r="J21" s="148"/>
      <c r="K21" s="137"/>
      <c r="L21" s="61"/>
      <c r="R21" s="10"/>
    </row>
    <row r="22" spans="2:18" ht="17.25" customHeight="1">
      <c r="B22" s="38" t="s">
        <v>56</v>
      </c>
      <c r="C22" s="13" t="s">
        <v>70</v>
      </c>
      <c r="D22" s="48" t="s">
        <v>57</v>
      </c>
      <c r="E22" s="6" t="s">
        <v>4</v>
      </c>
      <c r="F22" s="23" t="e">
        <f>SUM(G19)*18/23</f>
        <v>#DIV/0!</v>
      </c>
      <c r="G22" s="100" t="e">
        <f t="shared" ref="G22:G33" si="1">ROUNDUP(F22,0)</f>
        <v>#DIV/0!</v>
      </c>
      <c r="H22" s="33"/>
      <c r="I22" s="82"/>
      <c r="J22" s="70" t="e">
        <f t="shared" ref="J22:J31" si="2">G22*I22</f>
        <v>#DIV/0!</v>
      </c>
      <c r="K22" s="122"/>
      <c r="L22" s="61"/>
    </row>
    <row r="23" spans="2:18" ht="17.25" customHeight="1">
      <c r="B23" s="5" t="s">
        <v>100</v>
      </c>
      <c r="C23" s="8" t="s">
        <v>68</v>
      </c>
      <c r="D23" s="5" t="s">
        <v>11</v>
      </c>
      <c r="E23" s="6" t="s">
        <v>7</v>
      </c>
      <c r="F23" s="23" t="e">
        <f>(G6+G8*0.2+G17*0.4)*1.1/100</f>
        <v>#DIV/0!</v>
      </c>
      <c r="G23" s="97" t="e">
        <f>ROUNDUP(F23,1)</f>
        <v>#DIV/0!</v>
      </c>
      <c r="H23" s="33"/>
      <c r="I23" s="69"/>
      <c r="J23" s="70" t="e">
        <f t="shared" si="2"/>
        <v>#DIV/0!</v>
      </c>
      <c r="L23" s="61"/>
    </row>
    <row r="24" spans="2:18" ht="17.25" customHeight="1">
      <c r="B24" s="5" t="s">
        <v>5</v>
      </c>
      <c r="C24" s="8" t="s">
        <v>69</v>
      </c>
      <c r="D24" s="5" t="s">
        <v>11</v>
      </c>
      <c r="E24" s="6" t="s">
        <v>7</v>
      </c>
      <c r="F24" s="23" t="e">
        <f>($G$18*17+G8)*1.1/100</f>
        <v>#DIV/0!</v>
      </c>
      <c r="G24" s="97" t="e">
        <f>ROUNDUP(F24,1)</f>
        <v>#DIV/0!</v>
      </c>
      <c r="H24" s="33"/>
      <c r="I24" s="69"/>
      <c r="J24" s="70" t="e">
        <f t="shared" si="2"/>
        <v>#DIV/0!</v>
      </c>
      <c r="L24" s="61"/>
    </row>
    <row r="25" spans="2:18" ht="6.75" customHeight="1">
      <c r="E25" s="1"/>
      <c r="G25" s="20"/>
    </row>
    <row r="26" spans="2:18" ht="17.25" customHeight="1">
      <c r="B26" s="5" t="s">
        <v>81</v>
      </c>
      <c r="C26" s="8" t="s">
        <v>91</v>
      </c>
      <c r="D26" s="5" t="s">
        <v>76</v>
      </c>
      <c r="E26" s="6" t="s">
        <v>4</v>
      </c>
      <c r="F26" s="23">
        <f>G10*1/20</f>
        <v>0</v>
      </c>
      <c r="G26" s="95">
        <f t="shared" si="1"/>
        <v>0</v>
      </c>
      <c r="H26" s="33" t="s">
        <v>52</v>
      </c>
      <c r="I26" s="83"/>
      <c r="J26" s="70">
        <f t="shared" si="2"/>
        <v>0</v>
      </c>
      <c r="K26" s="121" t="s">
        <v>79</v>
      </c>
      <c r="L26" s="12"/>
    </row>
    <row r="27" spans="2:18" ht="17.25" customHeight="1">
      <c r="B27" s="5" t="s">
        <v>82</v>
      </c>
      <c r="C27" s="8" t="s">
        <v>92</v>
      </c>
      <c r="D27" s="5" t="s">
        <v>83</v>
      </c>
      <c r="E27" s="6" t="s">
        <v>4</v>
      </c>
      <c r="F27" s="23">
        <f>G10*0.3/15</f>
        <v>0</v>
      </c>
      <c r="G27" s="95">
        <f t="shared" si="1"/>
        <v>0</v>
      </c>
      <c r="H27" s="33" t="s">
        <v>93</v>
      </c>
      <c r="I27" s="83"/>
      <c r="J27" s="70">
        <f t="shared" si="2"/>
        <v>0</v>
      </c>
      <c r="K27" s="137"/>
      <c r="L27" s="12"/>
    </row>
    <row r="28" spans="2:18" ht="17.25" customHeight="1">
      <c r="B28" s="5" t="s">
        <v>84</v>
      </c>
      <c r="C28" s="8" t="s">
        <v>94</v>
      </c>
      <c r="D28" s="5" t="s">
        <v>76</v>
      </c>
      <c r="E28" s="6" t="s">
        <v>4</v>
      </c>
      <c r="F28" s="23">
        <f>G10*0.5/20</f>
        <v>0</v>
      </c>
      <c r="G28" s="95">
        <f t="shared" si="1"/>
        <v>0</v>
      </c>
      <c r="H28" s="33" t="s">
        <v>87</v>
      </c>
      <c r="I28" s="83"/>
      <c r="J28" s="70">
        <f t="shared" si="2"/>
        <v>0</v>
      </c>
      <c r="K28" s="137"/>
      <c r="L28" s="12"/>
    </row>
    <row r="29" spans="2:18" ht="17.25" customHeight="1">
      <c r="B29" s="5" t="s">
        <v>85</v>
      </c>
      <c r="C29" s="8" t="s">
        <v>95</v>
      </c>
      <c r="D29" s="5" t="s">
        <v>76</v>
      </c>
      <c r="E29" s="6" t="s">
        <v>4</v>
      </c>
      <c r="F29" s="23">
        <f>G10*0.8/20</f>
        <v>0</v>
      </c>
      <c r="G29" s="95">
        <f t="shared" si="1"/>
        <v>0</v>
      </c>
      <c r="H29" s="33" t="s">
        <v>96</v>
      </c>
      <c r="I29" s="83"/>
      <c r="J29" s="70">
        <f t="shared" si="2"/>
        <v>0</v>
      </c>
      <c r="K29" s="137"/>
      <c r="L29" s="12"/>
    </row>
    <row r="30" spans="2:18" ht="17.25" customHeight="1">
      <c r="B30" s="5" t="s">
        <v>74</v>
      </c>
      <c r="C30" s="8" t="s">
        <v>75</v>
      </c>
      <c r="D30" s="5" t="s">
        <v>76</v>
      </c>
      <c r="E30" s="6" t="s">
        <v>4</v>
      </c>
      <c r="F30" s="23">
        <f>G10/20</f>
        <v>0</v>
      </c>
      <c r="G30" s="95">
        <f t="shared" si="1"/>
        <v>0</v>
      </c>
      <c r="H30" s="33" t="s">
        <v>52</v>
      </c>
      <c r="I30" s="83"/>
      <c r="J30" s="70">
        <f t="shared" si="2"/>
        <v>0</v>
      </c>
      <c r="K30" s="137"/>
      <c r="L30" s="12"/>
    </row>
    <row r="31" spans="2:18" ht="17.25" customHeight="1">
      <c r="B31" s="5" t="s">
        <v>77</v>
      </c>
      <c r="C31" s="8" t="s">
        <v>78</v>
      </c>
      <c r="D31" s="5" t="s">
        <v>83</v>
      </c>
      <c r="E31" s="6" t="s">
        <v>4</v>
      </c>
      <c r="F31" s="84">
        <f>G10*0.5/15</f>
        <v>0</v>
      </c>
      <c r="G31" s="95">
        <f t="shared" si="1"/>
        <v>0</v>
      </c>
      <c r="H31" s="55" t="s">
        <v>87</v>
      </c>
      <c r="I31" s="83"/>
      <c r="J31" s="70">
        <f t="shared" si="2"/>
        <v>0</v>
      </c>
      <c r="K31" s="122"/>
      <c r="L31" s="12"/>
    </row>
    <row r="32" spans="2:18" ht="17.25" customHeight="1">
      <c r="B32" s="138" t="s">
        <v>118</v>
      </c>
      <c r="C32" s="8" t="s">
        <v>94</v>
      </c>
      <c r="D32" s="5" t="s">
        <v>119</v>
      </c>
      <c r="E32" s="6" t="s">
        <v>4</v>
      </c>
      <c r="F32" s="23">
        <f>G10*0.5/20</f>
        <v>0</v>
      </c>
      <c r="G32" s="95">
        <f t="shared" si="1"/>
        <v>0</v>
      </c>
      <c r="H32" s="33" t="s">
        <v>87</v>
      </c>
      <c r="I32" s="83"/>
      <c r="J32" s="22"/>
      <c r="K32" s="139" t="s">
        <v>120</v>
      </c>
      <c r="L32" s="12"/>
    </row>
    <row r="33" spans="2:12" ht="17.25" customHeight="1">
      <c r="B33" s="138"/>
      <c r="C33" s="8" t="s">
        <v>133</v>
      </c>
      <c r="D33" s="5" t="s">
        <v>119</v>
      </c>
      <c r="E33" s="6" t="s">
        <v>4</v>
      </c>
      <c r="F33" s="23">
        <f>G10*0.4/16</f>
        <v>0</v>
      </c>
      <c r="G33" s="95">
        <f t="shared" si="1"/>
        <v>0</v>
      </c>
      <c r="H33" s="33" t="s">
        <v>134</v>
      </c>
      <c r="I33" s="83"/>
      <c r="J33" s="22"/>
      <c r="K33" s="140"/>
      <c r="L33" s="12"/>
    </row>
    <row r="34" spans="2:12" ht="17.25" customHeight="1" thickBot="1">
      <c r="B34" s="5" t="s">
        <v>38</v>
      </c>
      <c r="C34" s="8" t="s">
        <v>36</v>
      </c>
      <c r="D34" s="5" t="s">
        <v>39</v>
      </c>
      <c r="E34" s="6" t="s">
        <v>97</v>
      </c>
      <c r="F34" s="6" t="s">
        <v>37</v>
      </c>
      <c r="G34" s="101">
        <f>ROUNDUP(G5/80,0)</f>
        <v>0</v>
      </c>
      <c r="H34" s="57"/>
      <c r="I34" s="83"/>
      <c r="J34" s="70"/>
      <c r="K34" s="2"/>
      <c r="L34" s="12"/>
    </row>
    <row r="35" spans="2:12" ht="17.25" customHeight="1">
      <c r="H35" s="129" t="s">
        <v>31</v>
      </c>
      <c r="I35" s="130"/>
      <c r="J35" s="70" t="e">
        <f>SUM(J13:J34)</f>
        <v>#DIV/0!</v>
      </c>
      <c r="L35" s="12"/>
    </row>
    <row r="36" spans="2:12" ht="17.25" customHeight="1">
      <c r="H36" s="128" t="s">
        <v>44</v>
      </c>
      <c r="I36" s="128"/>
      <c r="J36" s="85" t="e">
        <f>J35/G10</f>
        <v>#DIV/0!</v>
      </c>
      <c r="L36" s="12"/>
    </row>
    <row r="37" spans="2:12">
      <c r="L37" s="12"/>
    </row>
    <row r="38" spans="2:12">
      <c r="B38" s="1" t="s">
        <v>20</v>
      </c>
      <c r="L38" s="12"/>
    </row>
  </sheetData>
  <mergeCells count="16">
    <mergeCell ref="I1:K1"/>
    <mergeCell ref="H35:I35"/>
    <mergeCell ref="J19:J21"/>
    <mergeCell ref="K19:K22"/>
    <mergeCell ref="K26:K31"/>
    <mergeCell ref="B32:B33"/>
    <mergeCell ref="K32:K33"/>
    <mergeCell ref="I19:I21"/>
    <mergeCell ref="H36:I36"/>
    <mergeCell ref="K13:K14"/>
    <mergeCell ref="G19:G21"/>
    <mergeCell ref="B13:B14"/>
    <mergeCell ref="C13:C14"/>
    <mergeCell ref="B17:B18"/>
    <mergeCell ref="C19:C21"/>
    <mergeCell ref="D19:D21"/>
  </mergeCells>
  <phoneticPr fontId="2"/>
  <printOptions horizontalCentered="1"/>
  <pageMargins left="0.59055118110236227" right="0.59055118110236227" top="0.69" bottom="0.59055118110236227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R38"/>
  <sheetViews>
    <sheetView tabSelected="1" workbookViewId="0">
      <selection activeCell="G8" sqref="G8"/>
    </sheetView>
  </sheetViews>
  <sheetFormatPr defaultColWidth="9" defaultRowHeight="13.5"/>
  <cols>
    <col min="1" max="1" width="1.5" style="1" customWidth="1"/>
    <col min="2" max="2" width="19.75" style="1" customWidth="1"/>
    <col min="3" max="3" width="24.5" style="1" customWidth="1"/>
    <col min="4" max="4" width="16.25" style="1" customWidth="1"/>
    <col min="5" max="5" width="3.125" style="2" customWidth="1"/>
    <col min="6" max="6" width="6.875" style="1" customWidth="1"/>
    <col min="7" max="7" width="13.25" style="1" customWidth="1"/>
    <col min="8" max="8" width="10" style="1" customWidth="1"/>
    <col min="9" max="10" width="13.25" style="1" customWidth="1"/>
    <col min="11" max="11" width="15.375" style="1" customWidth="1"/>
    <col min="12" max="16384" width="9" style="1"/>
  </cols>
  <sheetData>
    <row r="1" spans="1:18" ht="17.25">
      <c r="A1" s="15"/>
      <c r="C1" s="16"/>
      <c r="I1" s="120">
        <v>44137</v>
      </c>
      <c r="J1" s="120"/>
      <c r="K1" s="120"/>
    </row>
    <row r="2" spans="1:18" ht="17.25">
      <c r="A2" s="15"/>
      <c r="E2" s="1"/>
      <c r="J2" s="1" t="s">
        <v>67</v>
      </c>
    </row>
    <row r="3" spans="1:18" ht="18" thickBot="1">
      <c r="A3" s="15"/>
      <c r="B3" s="45" t="s">
        <v>53</v>
      </c>
      <c r="C3" s="9" t="s">
        <v>115</v>
      </c>
      <c r="D3" s="9"/>
      <c r="E3" s="1"/>
      <c r="F3" s="2"/>
      <c r="H3" s="11"/>
      <c r="I3" s="10"/>
    </row>
    <row r="4" spans="1:18" ht="17.25">
      <c r="A4" s="15"/>
      <c r="B4" s="1" t="s">
        <v>0</v>
      </c>
      <c r="C4" s="12" t="s">
        <v>26</v>
      </c>
      <c r="E4" s="1"/>
      <c r="F4" s="2"/>
      <c r="G4" s="7" t="s">
        <v>16</v>
      </c>
      <c r="H4" s="11"/>
      <c r="I4" s="10"/>
    </row>
    <row r="5" spans="1:18" ht="19.5" customHeight="1">
      <c r="A5" s="15"/>
      <c r="C5" s="58" t="s">
        <v>86</v>
      </c>
      <c r="D5" s="3" t="s">
        <v>45</v>
      </c>
      <c r="E5" s="4" t="s">
        <v>22</v>
      </c>
      <c r="F5" s="6" t="s">
        <v>23</v>
      </c>
      <c r="G5" s="17">
        <v>0</v>
      </c>
      <c r="H5" s="11"/>
      <c r="I5" s="10"/>
    </row>
    <row r="6" spans="1:18" ht="19.5" customHeight="1">
      <c r="A6" s="15"/>
      <c r="C6" s="58" t="s">
        <v>86</v>
      </c>
      <c r="D6" s="3" t="s">
        <v>1</v>
      </c>
      <c r="E6" s="4" t="s">
        <v>24</v>
      </c>
      <c r="F6" s="6" t="s">
        <v>23</v>
      </c>
      <c r="G6" s="17">
        <v>0</v>
      </c>
      <c r="H6" s="11"/>
      <c r="I6" s="10"/>
    </row>
    <row r="7" spans="1:18" ht="19.5" customHeight="1">
      <c r="A7" s="15"/>
      <c r="C7" s="59"/>
      <c r="D7" s="3" t="s">
        <v>8</v>
      </c>
      <c r="E7" s="4"/>
      <c r="F7" s="6" t="s">
        <v>10</v>
      </c>
      <c r="G7" s="18">
        <v>0</v>
      </c>
      <c r="H7" s="11"/>
      <c r="I7" s="10"/>
    </row>
    <row r="8" spans="1:18" ht="19.5" customHeight="1">
      <c r="A8" s="15"/>
      <c r="C8" s="58" t="s">
        <v>86</v>
      </c>
      <c r="D8" s="3" t="s">
        <v>9</v>
      </c>
      <c r="E8" s="4"/>
      <c r="F8" s="6" t="s">
        <v>10</v>
      </c>
      <c r="G8" s="18" t="e">
        <f>G6/G7</f>
        <v>#DIV/0!</v>
      </c>
      <c r="H8" s="11"/>
      <c r="I8" s="10"/>
    </row>
    <row r="9" spans="1:18" ht="19.5" customHeight="1">
      <c r="A9" s="15"/>
      <c r="C9" s="16"/>
      <c r="D9" s="3" t="s">
        <v>2</v>
      </c>
      <c r="E9" s="4" t="s">
        <v>27</v>
      </c>
      <c r="F9" s="6" t="s">
        <v>23</v>
      </c>
      <c r="G9" s="17"/>
      <c r="H9" s="11"/>
      <c r="I9" s="10"/>
    </row>
    <row r="10" spans="1:18" ht="19.5" customHeight="1" thickBot="1">
      <c r="A10" s="15"/>
      <c r="C10" s="16"/>
      <c r="D10" s="3" t="s">
        <v>14</v>
      </c>
      <c r="E10" s="4"/>
      <c r="F10" s="6" t="s">
        <v>23</v>
      </c>
      <c r="G10" s="19">
        <f>G5+G6+G9</f>
        <v>0</v>
      </c>
      <c r="H10" s="11"/>
      <c r="I10" s="10"/>
    </row>
    <row r="11" spans="1:18">
      <c r="B11" s="1" t="s">
        <v>15</v>
      </c>
      <c r="C11" s="12" t="s">
        <v>18</v>
      </c>
      <c r="G11" s="7" t="s">
        <v>17</v>
      </c>
      <c r="R11" s="10"/>
    </row>
    <row r="12" spans="1:18" ht="17.25" customHeight="1">
      <c r="B12" s="5" t="s">
        <v>6</v>
      </c>
      <c r="C12" s="5" t="s">
        <v>3</v>
      </c>
      <c r="D12" s="5" t="s">
        <v>12</v>
      </c>
      <c r="E12" s="6"/>
      <c r="F12" s="6"/>
      <c r="G12" s="34" t="s">
        <v>21</v>
      </c>
      <c r="H12" s="33" t="s">
        <v>19</v>
      </c>
      <c r="I12" s="14" t="s">
        <v>29</v>
      </c>
      <c r="J12" s="14" t="s">
        <v>30</v>
      </c>
      <c r="K12" s="5" t="s">
        <v>80</v>
      </c>
      <c r="R12" s="62"/>
    </row>
    <row r="13" spans="1:18" ht="17.25" customHeight="1">
      <c r="B13" s="121" t="s">
        <v>41</v>
      </c>
      <c r="C13" s="123" t="s">
        <v>49</v>
      </c>
      <c r="D13" s="26" t="s">
        <v>46</v>
      </c>
      <c r="E13" s="29" t="s">
        <v>4</v>
      </c>
      <c r="F13" s="30"/>
      <c r="G13" s="87" t="s">
        <v>47</v>
      </c>
      <c r="H13" s="32" t="s">
        <v>28</v>
      </c>
      <c r="I13" s="88"/>
      <c r="J13" s="89" t="s">
        <v>48</v>
      </c>
      <c r="K13" s="145" t="s">
        <v>79</v>
      </c>
    </row>
    <row r="14" spans="1:18" ht="17.25" customHeight="1" thickBot="1">
      <c r="B14" s="122"/>
      <c r="C14" s="124"/>
      <c r="D14" s="38" t="s">
        <v>58</v>
      </c>
      <c r="E14" s="67" t="s">
        <v>4</v>
      </c>
      <c r="F14" s="68">
        <f>ROUNDUP(G10*0.2/10,0)</f>
        <v>0</v>
      </c>
      <c r="G14" s="93">
        <f>F14</f>
        <v>0</v>
      </c>
      <c r="H14" s="33" t="s">
        <v>28</v>
      </c>
      <c r="I14" s="69"/>
      <c r="J14" s="70">
        <f t="shared" ref="J14:J19" si="0">G14*I14</f>
        <v>0</v>
      </c>
      <c r="K14" s="146"/>
      <c r="L14" s="71"/>
    </row>
    <row r="15" spans="1:18" ht="17.25" customHeight="1">
      <c r="B15" s="1" t="s">
        <v>88</v>
      </c>
      <c r="C15" s="72"/>
      <c r="D15" s="72"/>
      <c r="E15" s="72"/>
      <c r="F15" s="72"/>
      <c r="G15" s="72"/>
      <c r="H15" s="72"/>
      <c r="I15" s="72"/>
      <c r="J15" s="72"/>
      <c r="K15" s="72"/>
      <c r="L15" s="71"/>
    </row>
    <row r="16" spans="1:18" ht="17.25" customHeight="1">
      <c r="B16" s="73" t="s">
        <v>98</v>
      </c>
      <c r="C16" s="72"/>
      <c r="D16" s="75"/>
      <c r="E16" s="75"/>
      <c r="F16" s="90"/>
      <c r="G16" s="91"/>
      <c r="H16" s="75"/>
      <c r="I16" s="78"/>
      <c r="J16" s="79"/>
      <c r="K16" s="20"/>
      <c r="L16" s="71"/>
    </row>
    <row r="17" spans="2:18" ht="17.25" customHeight="1">
      <c r="B17" s="121" t="s">
        <v>66</v>
      </c>
      <c r="C17" s="8" t="s">
        <v>54</v>
      </c>
      <c r="D17" s="5" t="s">
        <v>55</v>
      </c>
      <c r="E17" s="5" t="s">
        <v>7</v>
      </c>
      <c r="F17" s="23" t="e">
        <f>($G$8/(15.9*2)+$G$8/(15.9*5))*1.1</f>
        <v>#DIV/0!</v>
      </c>
      <c r="G17" s="118" t="e">
        <f>ROUNDUP(F17,1)</f>
        <v>#DIV/0!</v>
      </c>
      <c r="H17" s="33" t="s">
        <v>25</v>
      </c>
      <c r="I17" s="69"/>
      <c r="J17" s="70" t="e">
        <f t="shared" si="0"/>
        <v>#DIV/0!</v>
      </c>
      <c r="K17" s="92"/>
      <c r="L17" s="71"/>
    </row>
    <row r="18" spans="2:18" ht="17.25" customHeight="1">
      <c r="B18" s="122"/>
      <c r="C18" s="81" t="s">
        <v>59</v>
      </c>
      <c r="D18" s="67" t="s">
        <v>65</v>
      </c>
      <c r="E18" s="67" t="s">
        <v>7</v>
      </c>
      <c r="F18" s="23" t="e">
        <f>($G$5-$G$8*0.5)/(15.9*0.9)*1.1</f>
        <v>#DIV/0!</v>
      </c>
      <c r="G18" s="118" t="e">
        <f>ROUNDUP(F18,1)</f>
        <v>#DIV/0!</v>
      </c>
      <c r="H18" s="56" t="s">
        <v>25</v>
      </c>
      <c r="I18" s="69"/>
      <c r="J18" s="70" t="e">
        <f t="shared" si="0"/>
        <v>#DIV/0!</v>
      </c>
      <c r="K18" s="92"/>
      <c r="L18" s="60"/>
    </row>
    <row r="19" spans="2:18" ht="17.25" customHeight="1">
      <c r="B19" s="5" t="s">
        <v>103</v>
      </c>
      <c r="C19" s="134" t="s">
        <v>50</v>
      </c>
      <c r="D19" s="121" t="s">
        <v>51</v>
      </c>
      <c r="E19" s="5" t="s">
        <v>4</v>
      </c>
      <c r="F19" s="23" t="e">
        <f>((G17*0.4)+F24*100*0.2)*1.1/18</f>
        <v>#DIV/0!</v>
      </c>
      <c r="G19" s="152" t="e">
        <f>ROUNDUP(SUM(F19:F21),1)</f>
        <v>#DIV/0!</v>
      </c>
      <c r="H19" s="33" t="s">
        <v>40</v>
      </c>
      <c r="I19" s="147"/>
      <c r="J19" s="147" t="e">
        <f t="shared" si="0"/>
        <v>#DIV/0!</v>
      </c>
      <c r="K19" s="121" t="s">
        <v>79</v>
      </c>
      <c r="L19" s="61"/>
      <c r="Q19" s="10"/>
    </row>
    <row r="20" spans="2:18" ht="17.25" customHeight="1">
      <c r="B20" s="5" t="s">
        <v>101</v>
      </c>
      <c r="C20" s="135"/>
      <c r="D20" s="137"/>
      <c r="E20" s="5" t="s">
        <v>4</v>
      </c>
      <c r="F20" s="23" t="e">
        <f>(G6+G8*0.2)*1.1*0.8/18</f>
        <v>#DIV/0!</v>
      </c>
      <c r="G20" s="152"/>
      <c r="H20" s="33" t="s">
        <v>96</v>
      </c>
      <c r="I20" s="148"/>
      <c r="J20" s="148"/>
      <c r="K20" s="137"/>
      <c r="L20" s="61"/>
      <c r="Q20" s="10"/>
    </row>
    <row r="21" spans="2:18" ht="17.25" customHeight="1">
      <c r="B21" s="5" t="s">
        <v>102</v>
      </c>
      <c r="C21" s="136"/>
      <c r="D21" s="122"/>
      <c r="E21" s="5" t="s">
        <v>4</v>
      </c>
      <c r="F21" s="23">
        <f>(G10*1.2)*1.1/18</f>
        <v>0</v>
      </c>
      <c r="G21" s="152"/>
      <c r="H21" s="94" t="s">
        <v>99</v>
      </c>
      <c r="I21" s="149"/>
      <c r="J21" s="149"/>
      <c r="K21" s="137"/>
      <c r="L21" s="102"/>
      <c r="R21" s="10"/>
    </row>
    <row r="22" spans="2:18" ht="23.25" customHeight="1">
      <c r="B22" s="38" t="s">
        <v>56</v>
      </c>
      <c r="C22" s="13" t="s">
        <v>70</v>
      </c>
      <c r="D22" s="48" t="s">
        <v>57</v>
      </c>
      <c r="E22" s="6" t="s">
        <v>4</v>
      </c>
      <c r="F22" s="23" t="e">
        <f>SUM(G19)*18/23</f>
        <v>#DIV/0!</v>
      </c>
      <c r="G22" s="119" t="e">
        <f t="shared" ref="G22:G33" si="1">ROUNDUP(F22,0)</f>
        <v>#DIV/0!</v>
      </c>
      <c r="H22" s="33"/>
      <c r="I22" s="82"/>
      <c r="J22" s="70" t="e">
        <f t="shared" ref="J22:J31" si="2">G22*I22</f>
        <v>#DIV/0!</v>
      </c>
      <c r="K22" s="122"/>
      <c r="L22" s="61"/>
    </row>
    <row r="23" spans="2:18" ht="17.25" customHeight="1">
      <c r="B23" s="5" t="s">
        <v>100</v>
      </c>
      <c r="C23" s="8" t="s">
        <v>68</v>
      </c>
      <c r="D23" s="5" t="s">
        <v>11</v>
      </c>
      <c r="E23" s="6" t="s">
        <v>7</v>
      </c>
      <c r="F23" s="23" t="e">
        <f>(G6+G8*0.2+G17*0.4)*1.1/100</f>
        <v>#DIV/0!</v>
      </c>
      <c r="G23" s="117" t="e">
        <f>ROUNDUP(F23,1)</f>
        <v>#DIV/0!</v>
      </c>
      <c r="H23" s="33" t="s">
        <v>90</v>
      </c>
      <c r="I23" s="69"/>
      <c r="J23" s="70" t="e">
        <f t="shared" si="2"/>
        <v>#DIV/0!</v>
      </c>
      <c r="L23" s="61"/>
    </row>
    <row r="24" spans="2:18" ht="17.25" customHeight="1">
      <c r="B24" s="5" t="s">
        <v>5</v>
      </c>
      <c r="C24" s="8" t="s">
        <v>69</v>
      </c>
      <c r="D24" s="5" t="s">
        <v>11</v>
      </c>
      <c r="E24" s="6" t="s">
        <v>7</v>
      </c>
      <c r="F24" s="23" t="e">
        <f>($G$18*17+G8)*1.1/100</f>
        <v>#DIV/0!</v>
      </c>
      <c r="G24" s="117" t="e">
        <f>ROUNDUP(F24,1)</f>
        <v>#DIV/0!</v>
      </c>
      <c r="H24" s="33" t="s">
        <v>25</v>
      </c>
      <c r="I24" s="69"/>
      <c r="J24" s="70" t="e">
        <f t="shared" si="2"/>
        <v>#DIV/0!</v>
      </c>
      <c r="L24" s="61"/>
    </row>
    <row r="25" spans="2:18" ht="7.5" customHeight="1">
      <c r="E25" s="1"/>
      <c r="G25" s="20"/>
    </row>
    <row r="26" spans="2:18" ht="17.25" customHeight="1">
      <c r="B26" s="5" t="s">
        <v>81</v>
      </c>
      <c r="C26" s="8" t="s">
        <v>91</v>
      </c>
      <c r="D26" s="5" t="s">
        <v>76</v>
      </c>
      <c r="E26" s="6" t="s">
        <v>4</v>
      </c>
      <c r="F26" s="23">
        <f>G10*1/20</f>
        <v>0</v>
      </c>
      <c r="G26" s="117">
        <f t="shared" si="1"/>
        <v>0</v>
      </c>
      <c r="H26" s="33" t="s">
        <v>52</v>
      </c>
      <c r="I26" s="83"/>
      <c r="J26" s="70">
        <f t="shared" si="2"/>
        <v>0</v>
      </c>
      <c r="K26" s="121" t="s">
        <v>79</v>
      </c>
      <c r="L26" s="12"/>
    </row>
    <row r="27" spans="2:18" ht="17.25" customHeight="1">
      <c r="B27" s="5" t="s">
        <v>82</v>
      </c>
      <c r="C27" s="8" t="s">
        <v>92</v>
      </c>
      <c r="D27" s="5" t="s">
        <v>83</v>
      </c>
      <c r="E27" s="6" t="s">
        <v>4</v>
      </c>
      <c r="F27" s="23">
        <f>G10*0.3/15</f>
        <v>0</v>
      </c>
      <c r="G27" s="117">
        <f t="shared" si="1"/>
        <v>0</v>
      </c>
      <c r="H27" s="33" t="s">
        <v>93</v>
      </c>
      <c r="I27" s="83"/>
      <c r="J27" s="70">
        <f t="shared" si="2"/>
        <v>0</v>
      </c>
      <c r="K27" s="137"/>
      <c r="L27" s="12"/>
    </row>
    <row r="28" spans="2:18" ht="17.25" customHeight="1">
      <c r="B28" s="5" t="s">
        <v>84</v>
      </c>
      <c r="C28" s="8" t="s">
        <v>94</v>
      </c>
      <c r="D28" s="5" t="s">
        <v>76</v>
      </c>
      <c r="E28" s="6" t="s">
        <v>4</v>
      </c>
      <c r="F28" s="23">
        <f>G10*0.5/20</f>
        <v>0</v>
      </c>
      <c r="G28" s="117">
        <f t="shared" si="1"/>
        <v>0</v>
      </c>
      <c r="H28" s="33" t="s">
        <v>87</v>
      </c>
      <c r="I28" s="83"/>
      <c r="J28" s="70">
        <f t="shared" si="2"/>
        <v>0</v>
      </c>
      <c r="K28" s="137"/>
      <c r="L28" s="12"/>
    </row>
    <row r="29" spans="2:18" ht="17.25" customHeight="1">
      <c r="B29" s="5" t="s">
        <v>85</v>
      </c>
      <c r="C29" s="8" t="s">
        <v>95</v>
      </c>
      <c r="D29" s="5" t="s">
        <v>76</v>
      </c>
      <c r="E29" s="6" t="s">
        <v>4</v>
      </c>
      <c r="F29" s="23">
        <f>G10*0.8/20</f>
        <v>0</v>
      </c>
      <c r="G29" s="117">
        <f t="shared" si="1"/>
        <v>0</v>
      </c>
      <c r="H29" s="33" t="s">
        <v>96</v>
      </c>
      <c r="I29" s="83"/>
      <c r="J29" s="70">
        <f t="shared" si="2"/>
        <v>0</v>
      </c>
      <c r="K29" s="137"/>
      <c r="L29" s="12"/>
    </row>
    <row r="30" spans="2:18" ht="17.25" customHeight="1">
      <c r="B30" s="5" t="s">
        <v>74</v>
      </c>
      <c r="C30" s="8" t="s">
        <v>75</v>
      </c>
      <c r="D30" s="5" t="s">
        <v>76</v>
      </c>
      <c r="E30" s="6" t="s">
        <v>4</v>
      </c>
      <c r="F30" s="23">
        <f>G10/20</f>
        <v>0</v>
      </c>
      <c r="G30" s="117">
        <f t="shared" si="1"/>
        <v>0</v>
      </c>
      <c r="H30" s="33" t="s">
        <v>52</v>
      </c>
      <c r="I30" s="83"/>
      <c r="J30" s="70">
        <f t="shared" si="2"/>
        <v>0</v>
      </c>
      <c r="K30" s="137"/>
      <c r="L30" s="12"/>
    </row>
    <row r="31" spans="2:18" ht="17.25" customHeight="1">
      <c r="B31" s="5" t="s">
        <v>77</v>
      </c>
      <c r="C31" s="8" t="s">
        <v>78</v>
      </c>
      <c r="D31" s="5" t="s">
        <v>83</v>
      </c>
      <c r="E31" s="6" t="s">
        <v>4</v>
      </c>
      <c r="F31" s="84">
        <f>G10*0.5/15</f>
        <v>0</v>
      </c>
      <c r="G31" s="117">
        <f t="shared" si="1"/>
        <v>0</v>
      </c>
      <c r="H31" s="55" t="s">
        <v>87</v>
      </c>
      <c r="I31" s="83"/>
      <c r="J31" s="70">
        <f t="shared" si="2"/>
        <v>0</v>
      </c>
      <c r="K31" s="122"/>
      <c r="L31" s="12"/>
    </row>
    <row r="32" spans="2:18" ht="17.25" customHeight="1">
      <c r="B32" s="138" t="s">
        <v>118</v>
      </c>
      <c r="C32" s="8" t="s">
        <v>94</v>
      </c>
      <c r="D32" s="5" t="s">
        <v>119</v>
      </c>
      <c r="E32" s="6" t="s">
        <v>4</v>
      </c>
      <c r="F32" s="23">
        <f>G10*0.5/20</f>
        <v>0</v>
      </c>
      <c r="G32" s="117">
        <f t="shared" si="1"/>
        <v>0</v>
      </c>
      <c r="H32" s="33" t="s">
        <v>87</v>
      </c>
      <c r="I32" s="83"/>
      <c r="J32" s="22"/>
      <c r="K32" s="139" t="s">
        <v>120</v>
      </c>
      <c r="L32" s="12"/>
    </row>
    <row r="33" spans="2:12" ht="17.25" customHeight="1">
      <c r="B33" s="138"/>
      <c r="C33" s="8" t="s">
        <v>133</v>
      </c>
      <c r="D33" s="5" t="s">
        <v>119</v>
      </c>
      <c r="E33" s="6" t="s">
        <v>4</v>
      </c>
      <c r="F33" s="23">
        <f>G10*0.4/16</f>
        <v>0</v>
      </c>
      <c r="G33" s="117">
        <f t="shared" si="1"/>
        <v>0</v>
      </c>
      <c r="H33" s="33" t="s">
        <v>134</v>
      </c>
      <c r="I33" s="83"/>
      <c r="J33" s="22"/>
      <c r="K33" s="140"/>
      <c r="L33" s="12"/>
    </row>
    <row r="34" spans="2:12" ht="17.25" customHeight="1">
      <c r="B34" s="5" t="s">
        <v>38</v>
      </c>
      <c r="C34" s="8" t="s">
        <v>36</v>
      </c>
      <c r="D34" s="5" t="s">
        <v>39</v>
      </c>
      <c r="E34" s="6" t="s">
        <v>97</v>
      </c>
      <c r="F34" s="6" t="s">
        <v>37</v>
      </c>
      <c r="G34" s="117">
        <f>ROUNDUP(G5/80,0)</f>
        <v>0</v>
      </c>
      <c r="H34" s="57"/>
      <c r="I34" s="83"/>
      <c r="J34" s="70"/>
      <c r="K34" s="2"/>
      <c r="L34" s="12"/>
    </row>
    <row r="35" spans="2:12" ht="17.25" customHeight="1">
      <c r="H35" s="129" t="s">
        <v>31</v>
      </c>
      <c r="I35" s="130"/>
      <c r="J35" s="70" t="e">
        <f>SUM(J13:J34)</f>
        <v>#DIV/0!</v>
      </c>
      <c r="L35" s="12"/>
    </row>
    <row r="36" spans="2:12" ht="17.25" customHeight="1">
      <c r="H36" s="128" t="s">
        <v>44</v>
      </c>
      <c r="I36" s="128"/>
      <c r="J36" s="85" t="e">
        <f>J35/G10</f>
        <v>#DIV/0!</v>
      </c>
      <c r="L36" s="12"/>
    </row>
    <row r="37" spans="2:12">
      <c r="L37" s="12"/>
    </row>
    <row r="38" spans="2:12">
      <c r="B38" s="1" t="s">
        <v>20</v>
      </c>
      <c r="L38" s="86"/>
    </row>
  </sheetData>
  <mergeCells count="16">
    <mergeCell ref="H36:I36"/>
    <mergeCell ref="C19:C21"/>
    <mergeCell ref="D19:D21"/>
    <mergeCell ref="G19:G21"/>
    <mergeCell ref="I19:I21"/>
    <mergeCell ref="H35:I35"/>
    <mergeCell ref="B32:B33"/>
    <mergeCell ref="K32:K33"/>
    <mergeCell ref="I1:K1"/>
    <mergeCell ref="J19:J21"/>
    <mergeCell ref="K19:K22"/>
    <mergeCell ref="B13:B14"/>
    <mergeCell ref="C13:C14"/>
    <mergeCell ref="B17:B18"/>
    <mergeCell ref="K26:K31"/>
    <mergeCell ref="K13:K14"/>
  </mergeCells>
  <phoneticPr fontId="2"/>
  <pageMargins left="0.59055118110236227" right="0.59055118110236227" top="0.98425196850393704" bottom="0.59055118110236227" header="0.51181102362204722" footer="0.51181102362204722"/>
  <pageSetup paperSize="8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編集履歴</vt:lpstr>
      <vt:lpstr>N-20保護</vt:lpstr>
      <vt:lpstr>N-20露出</vt:lpstr>
      <vt:lpstr>N-20-保護断熱</vt:lpstr>
      <vt:lpstr>NZ-20保護</vt:lpstr>
      <vt:lpstr>NZ-20保護断熱</vt:lpstr>
      <vt:lpstr>NZ-20露出(1)</vt:lpstr>
      <vt:lpstr>NZ-20露出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05ナルファルトWP防水材料計算書</dc:title>
  <dc:creator>成瀬化学大阪営業所石原</dc:creator>
  <cp:lastModifiedBy>阪本 康平</cp:lastModifiedBy>
  <cp:lastPrinted>2016-11-02T00:46:48Z</cp:lastPrinted>
  <dcterms:created xsi:type="dcterms:W3CDTF">1997-01-08T22:48:59Z</dcterms:created>
  <dcterms:modified xsi:type="dcterms:W3CDTF">2022-03-31T04:24:37Z</dcterms:modified>
</cp:coreProperties>
</file>